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21135" windowHeight="11955"/>
  </bookViews>
  <sheets>
    <sheet name="Anex Sm(51)" sheetId="92" r:id="rId1"/>
    <sheet name="Anex Sm(50)" sheetId="91" r:id="rId2"/>
    <sheet name="Anex Sm(49)" sheetId="90" r:id="rId3"/>
    <sheet name="Anex Sm(48)" sheetId="89" r:id="rId4"/>
    <sheet name="Anex Sm(47)" sheetId="88" r:id="rId5"/>
    <sheet name="Anex Sm(46)" sheetId="87" r:id="rId6"/>
    <sheet name="Anex Sm(45)" sheetId="86" r:id="rId7"/>
    <sheet name="Anex Sm(44)" sheetId="85" r:id="rId8"/>
    <sheet name="Anex Sm(43)" sheetId="84" r:id="rId9"/>
    <sheet name="Anex Sm(42)" sheetId="83" r:id="rId10"/>
    <sheet name="Anex Sm(41)" sheetId="82" r:id="rId11"/>
    <sheet name="Anex Sm(40)" sheetId="81" r:id="rId12"/>
    <sheet name="Anex Sm(39)" sheetId="80" r:id="rId13"/>
    <sheet name="Anex Sm(38)" sheetId="79" r:id="rId14"/>
    <sheet name="Anex Sm(37)" sheetId="78" r:id="rId15"/>
    <sheet name="Anex Sm(36)" sheetId="77" r:id="rId16"/>
    <sheet name="Anex Sm(35)" sheetId="76" r:id="rId17"/>
    <sheet name="Anex Sm(34)" sheetId="75" r:id="rId18"/>
    <sheet name="Anex Sm(33)" sheetId="74" r:id="rId19"/>
    <sheet name="Anex Sm(32)" sheetId="73" r:id="rId20"/>
    <sheet name="Anex Sm(31)" sheetId="72" r:id="rId21"/>
    <sheet name="Anex Sm(30)" sheetId="71" r:id="rId22"/>
    <sheet name="Anex Sm(29)" sheetId="70" r:id="rId23"/>
    <sheet name="Anex Sm(28)" sheetId="69" r:id="rId24"/>
    <sheet name="Anex Sm(27)" sheetId="68" r:id="rId25"/>
    <sheet name="Anex Sm(26)" sheetId="67" r:id="rId26"/>
    <sheet name="Anex Sm(25)" sheetId="66" r:id="rId27"/>
    <sheet name="Anex Sm(24)" sheetId="65" r:id="rId28"/>
    <sheet name="Anex Sm(23)" sheetId="64" r:id="rId29"/>
    <sheet name="Anex Sm(22)" sheetId="63" r:id="rId30"/>
    <sheet name="Anex Sm(21)" sheetId="62" r:id="rId31"/>
    <sheet name="Anex Sm(20)" sheetId="61" r:id="rId32"/>
    <sheet name="Anex Sm(19)" sheetId="60" r:id="rId33"/>
    <sheet name="Anex Sm(18)" sheetId="59" r:id="rId34"/>
    <sheet name="Anex Sm(17)" sheetId="58" r:id="rId35"/>
    <sheet name="Anex Sm(16)" sheetId="57" r:id="rId36"/>
    <sheet name="Anex Sm(15)" sheetId="56" r:id="rId37"/>
    <sheet name="Anex Sm(14)" sheetId="55" r:id="rId38"/>
    <sheet name="Anex Sm(13)" sheetId="54" r:id="rId39"/>
    <sheet name="Anex Sm(12)" sheetId="53" r:id="rId40"/>
    <sheet name="Anex Sm(11)" sheetId="52" r:id="rId41"/>
    <sheet name="Anex Sm(10)" sheetId="51" r:id="rId42"/>
    <sheet name="Anex Sm(9)" sheetId="50" r:id="rId43"/>
    <sheet name="Anex Sm(8)" sheetId="49" r:id="rId44"/>
    <sheet name="Anex Sm(7)" sheetId="48" r:id="rId45"/>
    <sheet name="Anex Sm(6)" sheetId="47" r:id="rId46"/>
    <sheet name="Anex Sm(5)" sheetId="46" r:id="rId47"/>
    <sheet name="Anex Sm(4)" sheetId="45" r:id="rId48"/>
    <sheet name="Anex Sm(3)" sheetId="44" r:id="rId49"/>
    <sheet name="Anex Sm(2)" sheetId="43" r:id="rId50"/>
    <sheet name="Anex Sm(1)" sheetId="42" r:id="rId51"/>
  </sheets>
  <definedNames>
    <definedName name="_xlnm.Print_Area" localSheetId="50">'Anex Sm(1)'!$H$2:$S$45</definedName>
    <definedName name="_xlnm.Print_Area" localSheetId="41">'Anex Sm(10)'!$H$2:$S$44</definedName>
    <definedName name="_xlnm.Print_Area" localSheetId="40">'Anex Sm(11)'!$H$2:$S$44</definedName>
    <definedName name="_xlnm.Print_Area" localSheetId="39">'Anex Sm(12)'!$H$2:$S$44</definedName>
    <definedName name="_xlnm.Print_Area" localSheetId="38">'Anex Sm(13)'!$H$2:$S$44</definedName>
    <definedName name="_xlnm.Print_Area" localSheetId="37">'Anex Sm(14)'!$H$2:$S$44</definedName>
    <definedName name="_xlnm.Print_Area" localSheetId="36">'Anex Sm(15)'!$H$2:$S$44</definedName>
    <definedName name="_xlnm.Print_Area" localSheetId="35">'Anex Sm(16)'!$H$2:$S$45</definedName>
    <definedName name="_xlnm.Print_Area" localSheetId="34">'Anex Sm(17)'!$H$2:$S$45</definedName>
    <definedName name="_xlnm.Print_Area" localSheetId="33">'Anex Sm(18)'!$H$2:$S$44</definedName>
    <definedName name="_xlnm.Print_Area" localSheetId="32">'Anex Sm(19)'!$H$2:$S$44</definedName>
    <definedName name="_xlnm.Print_Area" localSheetId="49">'Anex Sm(2)'!$H$2:$S$45</definedName>
    <definedName name="_xlnm.Print_Area" localSheetId="31">'Anex Sm(20)'!$H$2:$S$46</definedName>
    <definedName name="_xlnm.Print_Area" localSheetId="30">'Anex Sm(21)'!$H$2:$S$46</definedName>
    <definedName name="_xlnm.Print_Area" localSheetId="29">'Anex Sm(22)'!$H$2:$S$46</definedName>
    <definedName name="_xlnm.Print_Area" localSheetId="28">'Anex Sm(23)'!$H$2:$Y$46</definedName>
    <definedName name="_xlnm.Print_Area" localSheetId="27">'Anex Sm(24)'!$H$2:$S$46</definedName>
    <definedName name="_xlnm.Print_Area" localSheetId="26">'Anex Sm(25)'!$H$2:$S$46</definedName>
    <definedName name="_xlnm.Print_Area" localSheetId="25">'Anex Sm(26)'!$H$2:$S$46</definedName>
    <definedName name="_xlnm.Print_Area" localSheetId="24">'Anex Sm(27)'!$H$2:$S$46</definedName>
    <definedName name="_xlnm.Print_Area" localSheetId="23">'Anex Sm(28)'!$H$2:$S$46</definedName>
    <definedName name="_xlnm.Print_Area" localSheetId="22">'Anex Sm(29)'!$H$2:$S$47</definedName>
    <definedName name="_xlnm.Print_Area" localSheetId="48">'Anex Sm(3)'!$H$2:$S$45</definedName>
    <definedName name="_xlnm.Print_Area" localSheetId="21">'Anex Sm(30)'!$H$2:$S$47</definedName>
    <definedName name="_xlnm.Print_Area" localSheetId="20">'Anex Sm(31)'!$H$2:$S$47</definedName>
    <definedName name="_xlnm.Print_Area" localSheetId="19">'Anex Sm(32)'!$H$2:$S$47</definedName>
    <definedName name="_xlnm.Print_Area" localSheetId="18">'Anex Sm(33)'!$H$2:$S$47</definedName>
    <definedName name="_xlnm.Print_Area" localSheetId="17">'Anex Sm(34)'!$H$2:$S$47</definedName>
    <definedName name="_xlnm.Print_Area" localSheetId="16">'Anex Sm(35)'!$H$2:$S$47</definedName>
    <definedName name="_xlnm.Print_Area" localSheetId="15">'Anex Sm(36)'!$H$2:$S$47</definedName>
    <definedName name="_xlnm.Print_Area" localSheetId="14">'Anex Sm(37)'!$H$2:$S$47</definedName>
    <definedName name="_xlnm.Print_Area" localSheetId="13">'Anex Sm(38)'!$H$2:$S$47</definedName>
    <definedName name="_xlnm.Print_Area" localSheetId="12">'Anex Sm(39)'!$H$2:$S$47</definedName>
    <definedName name="_xlnm.Print_Area" localSheetId="47">'Anex Sm(4)'!$H$2:$S$45</definedName>
    <definedName name="_xlnm.Print_Area" localSheetId="11">'Anex Sm(40)'!$H$2:$S$47</definedName>
    <definedName name="_xlnm.Print_Area" localSheetId="10">'Anex Sm(41)'!$H$2:$S$47</definedName>
    <definedName name="_xlnm.Print_Area" localSheetId="9">'Anex Sm(42)'!$H$2:$S$47</definedName>
    <definedName name="_xlnm.Print_Area" localSheetId="8">'Anex Sm(43)'!$H$2:$S$47</definedName>
    <definedName name="_xlnm.Print_Area" localSheetId="7">'Anex Sm(44)'!$H$2:$S$45</definedName>
    <definedName name="_xlnm.Print_Area" localSheetId="6">'Anex Sm(45)'!$H$2:$S$45</definedName>
    <definedName name="_xlnm.Print_Area" localSheetId="5">'Anex Sm(46)'!$H$2:$S$45</definedName>
    <definedName name="_xlnm.Print_Area" localSheetId="4">'Anex Sm(47)'!$H$2:$S$45</definedName>
    <definedName name="_xlnm.Print_Area" localSheetId="3">'Anex Sm(48)'!$H$2:$S$45</definedName>
    <definedName name="_xlnm.Print_Area" localSheetId="2">'Anex Sm(49)'!$H$2:$S$45</definedName>
    <definedName name="_xlnm.Print_Area" localSheetId="46">'Anex Sm(5)'!$H$2:$S$45</definedName>
    <definedName name="_xlnm.Print_Area" localSheetId="1">'Anex Sm(50)'!$H$2:$S$45</definedName>
    <definedName name="_xlnm.Print_Area" localSheetId="0">'Anex Sm(51)'!$H$2:$S$45</definedName>
    <definedName name="_xlnm.Print_Area" localSheetId="45">'Anex Sm(6)'!$H$2:$S$44</definedName>
    <definedName name="_xlnm.Print_Area" localSheetId="44">'Anex Sm(7)'!$H$2:$S$44</definedName>
    <definedName name="_xlnm.Print_Area" localSheetId="43">'Anex Sm(8)'!$H$2:$S$45</definedName>
    <definedName name="_xlnm.Print_Area" localSheetId="42">'Anex Sm(9)'!$H$2:$S$45</definedName>
  </definedNames>
  <calcPr calcId="124519"/>
</workbook>
</file>

<file path=xl/calcChain.xml><?xml version="1.0" encoding="utf-8"?>
<calcChain xmlns="http://schemas.openxmlformats.org/spreadsheetml/2006/main">
  <c r="N25" i="92"/>
  <c r="Z49"/>
  <c r="AB48"/>
  <c r="AA48"/>
  <c r="AA49" s="1"/>
  <c r="AA47"/>
  <c r="AB47" s="1"/>
  <c r="AC47" s="1"/>
  <c r="J44"/>
  <c r="S43"/>
  <c r="Q43"/>
  <c r="O43"/>
  <c r="M43"/>
  <c r="K43"/>
  <c r="P42"/>
  <c r="R42" s="1"/>
  <c r="P41"/>
  <c r="R41" s="1"/>
  <c r="P40"/>
  <c r="N40"/>
  <c r="L40"/>
  <c r="R40" s="1"/>
  <c r="P39"/>
  <c r="L39"/>
  <c r="R38"/>
  <c r="P38"/>
  <c r="R37"/>
  <c r="P37"/>
  <c r="P36"/>
  <c r="N36"/>
  <c r="L36"/>
  <c r="P35"/>
  <c r="R35" s="1"/>
  <c r="P34"/>
  <c r="R34" s="1"/>
  <c r="P33"/>
  <c r="R33" s="1"/>
  <c r="P32"/>
  <c r="N32"/>
  <c r="L32"/>
  <c r="R32" s="1"/>
  <c r="P31"/>
  <c r="R31" s="1"/>
  <c r="P30"/>
  <c r="L30"/>
  <c r="R30" s="1"/>
  <c r="AA29"/>
  <c r="P29"/>
  <c r="N29"/>
  <c r="L29"/>
  <c r="R29" s="1"/>
  <c r="AA28"/>
  <c r="P28"/>
  <c r="N28"/>
  <c r="AA27"/>
  <c r="P27"/>
  <c r="N27"/>
  <c r="P26"/>
  <c r="R26"/>
  <c r="P25"/>
  <c r="R25"/>
  <c r="L25"/>
  <c r="P24"/>
  <c r="N24"/>
  <c r="L24"/>
  <c r="R24" s="1"/>
  <c r="P23"/>
  <c r="R23" s="1"/>
  <c r="P22"/>
  <c r="R22" s="1"/>
  <c r="P21"/>
  <c r="R21" s="1"/>
  <c r="P20"/>
  <c r="L20"/>
  <c r="R20" s="1"/>
  <c r="W19"/>
  <c r="V20" s="1"/>
  <c r="U20" s="1"/>
  <c r="U21" s="1"/>
  <c r="V22" s="1"/>
  <c r="X22" s="1"/>
  <c r="V19"/>
  <c r="P19"/>
  <c r="R19"/>
  <c r="L19"/>
  <c r="Z18"/>
  <c r="Z19" s="1"/>
  <c r="Z20" s="1"/>
  <c r="Z21" s="1"/>
  <c r="Z22" s="1"/>
  <c r="Z23" s="1"/>
  <c r="Z24" s="1"/>
  <c r="Z25" s="1"/>
  <c r="Z26" s="1"/>
  <c r="P18"/>
  <c r="N18"/>
  <c r="L18"/>
  <c r="R18" s="1"/>
  <c r="Z17"/>
  <c r="P17"/>
  <c r="N17"/>
  <c r="R17" s="1"/>
  <c r="L17"/>
  <c r="P16"/>
  <c r="N16"/>
  <c r="L16"/>
  <c r="R16" s="1"/>
  <c r="V15"/>
  <c r="U15"/>
  <c r="U16" s="1"/>
  <c r="V17" s="1"/>
  <c r="X17" s="1"/>
  <c r="P15"/>
  <c r="N15"/>
  <c r="L15"/>
  <c r="R15" s="1"/>
  <c r="P14"/>
  <c r="R14" s="1"/>
  <c r="P13"/>
  <c r="R13" s="1"/>
  <c r="P12"/>
  <c r="N12"/>
  <c r="L12"/>
  <c r="R12" s="1"/>
  <c r="P11"/>
  <c r="N11"/>
  <c r="R11" s="1"/>
  <c r="V10"/>
  <c r="U10"/>
  <c r="U11" s="1"/>
  <c r="V12" s="1"/>
  <c r="X12" s="1"/>
  <c r="P10"/>
  <c r="N10"/>
  <c r="P9"/>
  <c r="N9"/>
  <c r="R9" s="1"/>
  <c r="R44" s="1"/>
  <c r="L9"/>
  <c r="P8"/>
  <c r="N8"/>
  <c r="L8"/>
  <c r="P7"/>
  <c r="N7"/>
  <c r="R7" s="1"/>
  <c r="L7"/>
  <c r="P6"/>
  <c r="R6" s="1"/>
  <c r="V5"/>
  <c r="U5"/>
  <c r="U6" s="1"/>
  <c r="V7" s="1"/>
  <c r="X7" s="1"/>
  <c r="P5"/>
  <c r="L5"/>
  <c r="P4"/>
  <c r="N4"/>
  <c r="T2"/>
  <c r="Z49" i="91"/>
  <c r="AB48"/>
  <c r="AA48"/>
  <c r="AA47"/>
  <c r="AB47" s="1"/>
  <c r="AC47" s="1"/>
  <c r="J44"/>
  <c r="S43"/>
  <c r="Q43"/>
  <c r="O43"/>
  <c r="M43"/>
  <c r="K43"/>
  <c r="P42"/>
  <c r="R42" s="1"/>
  <c r="W41"/>
  <c r="R41"/>
  <c r="P41"/>
  <c r="W40"/>
  <c r="W42" s="1"/>
  <c r="P40"/>
  <c r="N40"/>
  <c r="L40"/>
  <c r="P39"/>
  <c r="L39"/>
  <c r="R38"/>
  <c r="P38"/>
  <c r="P37"/>
  <c r="R37" s="1"/>
  <c r="P36"/>
  <c r="N36"/>
  <c r="L36"/>
  <c r="P35"/>
  <c r="R35" s="1"/>
  <c r="P34"/>
  <c r="R34" s="1"/>
  <c r="P33"/>
  <c r="N33"/>
  <c r="P32"/>
  <c r="N32"/>
  <c r="L32"/>
  <c r="P31"/>
  <c r="R31" s="1"/>
  <c r="P30"/>
  <c r="L30"/>
  <c r="P29"/>
  <c r="N29"/>
  <c r="L29"/>
  <c r="AA28"/>
  <c r="AA29" s="1"/>
  <c r="P28"/>
  <c r="N28"/>
  <c r="AA27"/>
  <c r="P27"/>
  <c r="N27"/>
  <c r="P26"/>
  <c r="N26"/>
  <c r="P25"/>
  <c r="N25"/>
  <c r="L25"/>
  <c r="P24"/>
  <c r="N24"/>
  <c r="L24"/>
  <c r="P23"/>
  <c r="R23" s="1"/>
  <c r="P22"/>
  <c r="R22" s="1"/>
  <c r="P21"/>
  <c r="R21" s="1"/>
  <c r="P20"/>
  <c r="L20"/>
  <c r="R20" s="1"/>
  <c r="V19"/>
  <c r="W19" s="1"/>
  <c r="V20" s="1"/>
  <c r="U20" s="1"/>
  <c r="U21" s="1"/>
  <c r="V22" s="1"/>
  <c r="X22" s="1"/>
  <c r="P19"/>
  <c r="N19"/>
  <c r="R19" s="1"/>
  <c r="L19"/>
  <c r="P18"/>
  <c r="N18"/>
  <c r="L18"/>
  <c r="Z17"/>
  <c r="Z18" s="1"/>
  <c r="Z19" s="1"/>
  <c r="Z20" s="1"/>
  <c r="Z21" s="1"/>
  <c r="Z22" s="1"/>
  <c r="Z23" s="1"/>
  <c r="Z24" s="1"/>
  <c r="Z25" s="1"/>
  <c r="Z26" s="1"/>
  <c r="P17"/>
  <c r="N17"/>
  <c r="R17" s="1"/>
  <c r="L17"/>
  <c r="P16"/>
  <c r="N16"/>
  <c r="L16"/>
  <c r="R16" s="1"/>
  <c r="V15"/>
  <c r="U15"/>
  <c r="U16" s="1"/>
  <c r="V17" s="1"/>
  <c r="X17" s="1"/>
  <c r="P15"/>
  <c r="N15"/>
  <c r="L15"/>
  <c r="P14"/>
  <c r="R14" s="1"/>
  <c r="P13"/>
  <c r="R13" s="1"/>
  <c r="P12"/>
  <c r="N12"/>
  <c r="L12"/>
  <c r="R12" s="1"/>
  <c r="P11"/>
  <c r="N11"/>
  <c r="R11" s="1"/>
  <c r="V10"/>
  <c r="U10"/>
  <c r="U11" s="1"/>
  <c r="V12" s="1"/>
  <c r="X12" s="1"/>
  <c r="P10"/>
  <c r="N10"/>
  <c r="P9"/>
  <c r="N9"/>
  <c r="R9" s="1"/>
  <c r="R44" s="1"/>
  <c r="L9"/>
  <c r="P8"/>
  <c r="N8"/>
  <c r="L8"/>
  <c r="P7"/>
  <c r="N7"/>
  <c r="L7"/>
  <c r="P6"/>
  <c r="R6" s="1"/>
  <c r="V5"/>
  <c r="U5"/>
  <c r="U6" s="1"/>
  <c r="V7" s="1"/>
  <c r="X7" s="1"/>
  <c r="P5"/>
  <c r="L5"/>
  <c r="P4"/>
  <c r="N4"/>
  <c r="N43" s="1"/>
  <c r="T2"/>
  <c r="R44" i="90"/>
  <c r="N33"/>
  <c r="N26"/>
  <c r="N19"/>
  <c r="N4"/>
  <c r="L36"/>
  <c r="L25"/>
  <c r="L20"/>
  <c r="L19"/>
  <c r="N27"/>
  <c r="P27"/>
  <c r="Z49"/>
  <c r="AB48"/>
  <c r="AA48"/>
  <c r="AA49" s="1"/>
  <c r="AA47"/>
  <c r="AB47" s="1"/>
  <c r="AC47" s="1"/>
  <c r="J44"/>
  <c r="S43"/>
  <c r="Q43"/>
  <c r="O43"/>
  <c r="M43"/>
  <c r="K43"/>
  <c r="P42"/>
  <c r="W41"/>
  <c r="W42" s="1"/>
  <c r="P41"/>
  <c r="R41" s="1"/>
  <c r="W40"/>
  <c r="P40"/>
  <c r="N40"/>
  <c r="R40" s="1"/>
  <c r="L40"/>
  <c r="P39"/>
  <c r="L39"/>
  <c r="P38"/>
  <c r="R38" s="1"/>
  <c r="P37"/>
  <c r="R37" s="1"/>
  <c r="P36"/>
  <c r="N36"/>
  <c r="R35"/>
  <c r="P35"/>
  <c r="P34"/>
  <c r="P33"/>
  <c r="P32"/>
  <c r="N32"/>
  <c r="L32"/>
  <c r="P31"/>
  <c r="R31" s="1"/>
  <c r="P30"/>
  <c r="L30"/>
  <c r="R30" s="1"/>
  <c r="P29"/>
  <c r="N29"/>
  <c r="L29"/>
  <c r="AA28"/>
  <c r="AA29" s="1"/>
  <c r="P28"/>
  <c r="N28"/>
  <c r="R28" s="1"/>
  <c r="AA27"/>
  <c r="P26"/>
  <c r="R26"/>
  <c r="P25"/>
  <c r="N25"/>
  <c r="P24"/>
  <c r="N24"/>
  <c r="L24"/>
  <c r="R24" s="1"/>
  <c r="P23"/>
  <c r="R23" s="1"/>
  <c r="P22"/>
  <c r="R22" s="1"/>
  <c r="P21"/>
  <c r="R21" s="1"/>
  <c r="P20"/>
  <c r="R20"/>
  <c r="W19"/>
  <c r="V20" s="1"/>
  <c r="U20" s="1"/>
  <c r="U21" s="1"/>
  <c r="V22" s="1"/>
  <c r="X22" s="1"/>
  <c r="V19"/>
  <c r="P19"/>
  <c r="R19"/>
  <c r="P18"/>
  <c r="N18"/>
  <c r="L18"/>
  <c r="Z17"/>
  <c r="Z18" s="1"/>
  <c r="Z19" s="1"/>
  <c r="Z20" s="1"/>
  <c r="Z21" s="1"/>
  <c r="Z22" s="1"/>
  <c r="Z23" s="1"/>
  <c r="Z24" s="1"/>
  <c r="Z25" s="1"/>
  <c r="Z26" s="1"/>
  <c r="P17"/>
  <c r="N17"/>
  <c r="L17"/>
  <c r="P16"/>
  <c r="N16"/>
  <c r="L16"/>
  <c r="V15"/>
  <c r="U15" s="1"/>
  <c r="U16" s="1"/>
  <c r="V17" s="1"/>
  <c r="X17" s="1"/>
  <c r="P15"/>
  <c r="N15"/>
  <c r="L15"/>
  <c r="P14"/>
  <c r="R14" s="1"/>
  <c r="P13"/>
  <c r="R13" s="1"/>
  <c r="P12"/>
  <c r="N12"/>
  <c r="L12"/>
  <c r="P11"/>
  <c r="N11"/>
  <c r="V10"/>
  <c r="U10" s="1"/>
  <c r="U11" s="1"/>
  <c r="V12" s="1"/>
  <c r="X12" s="1"/>
  <c r="P10"/>
  <c r="N10"/>
  <c r="P9"/>
  <c r="N9"/>
  <c r="L9"/>
  <c r="P8"/>
  <c r="N8"/>
  <c r="L8"/>
  <c r="R8" s="1"/>
  <c r="P7"/>
  <c r="N7"/>
  <c r="L7"/>
  <c r="R6"/>
  <c r="P6"/>
  <c r="V5"/>
  <c r="U5" s="1"/>
  <c r="U6" s="1"/>
  <c r="V7" s="1"/>
  <c r="X7" s="1"/>
  <c r="P5"/>
  <c r="L5"/>
  <c r="P4"/>
  <c r="R4"/>
  <c r="T2"/>
  <c r="R4" i="89"/>
  <c r="N33"/>
  <c r="N27"/>
  <c r="N19"/>
  <c r="Z49"/>
  <c r="AB48"/>
  <c r="AA48"/>
  <c r="AA47"/>
  <c r="AB47" s="1"/>
  <c r="AC47" s="1"/>
  <c r="J44"/>
  <c r="S43"/>
  <c r="Q43"/>
  <c r="O43"/>
  <c r="M43"/>
  <c r="K43"/>
  <c r="P42"/>
  <c r="N42"/>
  <c r="W41"/>
  <c r="P41"/>
  <c r="R41" s="1"/>
  <c r="W40"/>
  <c r="P40"/>
  <c r="N40"/>
  <c r="L40"/>
  <c r="P39"/>
  <c r="L39"/>
  <c r="P38"/>
  <c r="R38" s="1"/>
  <c r="P37"/>
  <c r="R37" s="1"/>
  <c r="P36"/>
  <c r="N36"/>
  <c r="P35"/>
  <c r="R35" s="1"/>
  <c r="P34"/>
  <c r="L34"/>
  <c r="P33"/>
  <c r="P32"/>
  <c r="N32"/>
  <c r="L32"/>
  <c r="R32" s="1"/>
  <c r="P31"/>
  <c r="R31" s="1"/>
  <c r="P30"/>
  <c r="L30"/>
  <c r="P29"/>
  <c r="N29"/>
  <c r="L29"/>
  <c r="AA28"/>
  <c r="P28"/>
  <c r="N28"/>
  <c r="AA27"/>
  <c r="P27"/>
  <c r="R27" s="1"/>
  <c r="P26"/>
  <c r="N26"/>
  <c r="L26"/>
  <c r="P25"/>
  <c r="N25"/>
  <c r="L25"/>
  <c r="P24"/>
  <c r="N24"/>
  <c r="L24"/>
  <c r="P23"/>
  <c r="R23" s="1"/>
  <c r="P22"/>
  <c r="R22" s="1"/>
  <c r="P21"/>
  <c r="R21"/>
  <c r="P20"/>
  <c r="N20"/>
  <c r="R20" s="1"/>
  <c r="V19"/>
  <c r="W19" s="1"/>
  <c r="V20" s="1"/>
  <c r="U20" s="1"/>
  <c r="U21" s="1"/>
  <c r="V22" s="1"/>
  <c r="X22" s="1"/>
  <c r="P19"/>
  <c r="P18"/>
  <c r="N18"/>
  <c r="L18"/>
  <c r="Z17"/>
  <c r="Z18" s="1"/>
  <c r="Z19" s="1"/>
  <c r="Z20" s="1"/>
  <c r="Z21" s="1"/>
  <c r="Z22" s="1"/>
  <c r="Z23" s="1"/>
  <c r="Z24" s="1"/>
  <c r="Z25" s="1"/>
  <c r="Z26" s="1"/>
  <c r="P17"/>
  <c r="N17"/>
  <c r="L17"/>
  <c r="P16"/>
  <c r="N16"/>
  <c r="R16" s="1"/>
  <c r="L16"/>
  <c r="V15"/>
  <c r="U15" s="1"/>
  <c r="U16" s="1"/>
  <c r="V17" s="1"/>
  <c r="X17" s="1"/>
  <c r="P15"/>
  <c r="N15"/>
  <c r="L15"/>
  <c r="R14"/>
  <c r="P14"/>
  <c r="R13"/>
  <c r="P13"/>
  <c r="P12"/>
  <c r="N12"/>
  <c r="L12"/>
  <c r="P11"/>
  <c r="N11"/>
  <c r="V10"/>
  <c r="U10" s="1"/>
  <c r="U11" s="1"/>
  <c r="V12" s="1"/>
  <c r="X12" s="1"/>
  <c r="P10"/>
  <c r="N10"/>
  <c r="P9"/>
  <c r="N9"/>
  <c r="L9"/>
  <c r="R9" s="1"/>
  <c r="P8"/>
  <c r="N8"/>
  <c r="L8"/>
  <c r="P7"/>
  <c r="N7"/>
  <c r="L7"/>
  <c r="P6"/>
  <c r="R6" s="1"/>
  <c r="V5"/>
  <c r="U5" s="1"/>
  <c r="U6" s="1"/>
  <c r="V7" s="1"/>
  <c r="X7" s="1"/>
  <c r="P5"/>
  <c r="L5"/>
  <c r="P4"/>
  <c r="L4"/>
  <c r="T2"/>
  <c r="R27" i="92" l="1"/>
  <c r="R10"/>
  <c r="R5"/>
  <c r="N43"/>
  <c r="P43"/>
  <c r="R8"/>
  <c r="R28"/>
  <c r="R36"/>
  <c r="R39"/>
  <c r="AB49"/>
  <c r="AC49" s="1"/>
  <c r="R4"/>
  <c r="R43" s="1"/>
  <c r="R45" s="1"/>
  <c r="L43"/>
  <c r="AC48"/>
  <c r="R24" i="91"/>
  <c r="R25"/>
  <c r="R26"/>
  <c r="R29"/>
  <c r="R30"/>
  <c r="R33"/>
  <c r="AA49"/>
  <c r="R27"/>
  <c r="R10"/>
  <c r="R7"/>
  <c r="R5"/>
  <c r="P43"/>
  <c r="R28"/>
  <c r="R39"/>
  <c r="R15"/>
  <c r="R18"/>
  <c r="R32"/>
  <c r="R40"/>
  <c r="R8"/>
  <c r="R36"/>
  <c r="AB49"/>
  <c r="AC49" s="1"/>
  <c r="R4"/>
  <c r="R43" s="1"/>
  <c r="R45" s="1"/>
  <c r="L43"/>
  <c r="AC48"/>
  <c r="R29" i="90"/>
  <c r="R12"/>
  <c r="R10"/>
  <c r="R5"/>
  <c r="N43"/>
  <c r="R27"/>
  <c r="R25"/>
  <c r="P43"/>
  <c r="R18"/>
  <c r="R11"/>
  <c r="R15"/>
  <c r="R16"/>
  <c r="R32"/>
  <c r="R33"/>
  <c r="R34"/>
  <c r="R36"/>
  <c r="R39"/>
  <c r="R42"/>
  <c r="R7"/>
  <c r="R9"/>
  <c r="R17"/>
  <c r="AB49"/>
  <c r="AC49" s="1"/>
  <c r="L43"/>
  <c r="AC48"/>
  <c r="R26" i="89"/>
  <c r="AA29"/>
  <c r="R33"/>
  <c r="W42"/>
  <c r="AA49"/>
  <c r="R40"/>
  <c r="R24"/>
  <c r="R17"/>
  <c r="R15"/>
  <c r="R11"/>
  <c r="R8"/>
  <c r="R7"/>
  <c r="P43"/>
  <c r="R30"/>
  <c r="R25"/>
  <c r="N43"/>
  <c r="R5"/>
  <c r="R10"/>
  <c r="R12"/>
  <c r="R18"/>
  <c r="R19"/>
  <c r="R28"/>
  <c r="R29"/>
  <c r="R34"/>
  <c r="R36"/>
  <c r="R39"/>
  <c r="R42"/>
  <c r="AB49"/>
  <c r="AC49" s="1"/>
  <c r="L43"/>
  <c r="AC48"/>
  <c r="Z49" i="88"/>
  <c r="AB48"/>
  <c r="AA48"/>
  <c r="AA49" s="1"/>
  <c r="AA47"/>
  <c r="AB47" s="1"/>
  <c r="AC47" s="1"/>
  <c r="J44"/>
  <c r="S43"/>
  <c r="Q43"/>
  <c r="O43"/>
  <c r="M43"/>
  <c r="K43"/>
  <c r="P42"/>
  <c r="N42"/>
  <c r="W41"/>
  <c r="W42" s="1"/>
  <c r="P41"/>
  <c r="R41" s="1"/>
  <c r="W40"/>
  <c r="P40"/>
  <c r="N40"/>
  <c r="L40"/>
  <c r="P39"/>
  <c r="L39"/>
  <c r="P38"/>
  <c r="R38" s="1"/>
  <c r="P37"/>
  <c r="R37" s="1"/>
  <c r="P36"/>
  <c r="N36"/>
  <c r="R35"/>
  <c r="P35"/>
  <c r="P34"/>
  <c r="L34"/>
  <c r="P33"/>
  <c r="R33" s="1"/>
  <c r="P32"/>
  <c r="N32"/>
  <c r="L32"/>
  <c r="R32" s="1"/>
  <c r="P31"/>
  <c r="R31" s="1"/>
  <c r="P30"/>
  <c r="N30"/>
  <c r="L30"/>
  <c r="R30" s="1"/>
  <c r="P29"/>
  <c r="N29"/>
  <c r="L29"/>
  <c r="AA28"/>
  <c r="AA29" s="1"/>
  <c r="P28"/>
  <c r="N28"/>
  <c r="AA27"/>
  <c r="P27"/>
  <c r="R27" s="1"/>
  <c r="P26"/>
  <c r="N26"/>
  <c r="L26"/>
  <c r="P25"/>
  <c r="N25"/>
  <c r="L25"/>
  <c r="R25" s="1"/>
  <c r="P24"/>
  <c r="N24"/>
  <c r="L24"/>
  <c r="P23"/>
  <c r="R23" s="1"/>
  <c r="P22"/>
  <c r="R22" s="1"/>
  <c r="P21"/>
  <c r="N21"/>
  <c r="P20"/>
  <c r="N20"/>
  <c r="W19"/>
  <c r="V20" s="1"/>
  <c r="U20" s="1"/>
  <c r="U21" s="1"/>
  <c r="V22" s="1"/>
  <c r="X22" s="1"/>
  <c r="V19"/>
  <c r="P19"/>
  <c r="N19"/>
  <c r="R19" s="1"/>
  <c r="P18"/>
  <c r="N18"/>
  <c r="L18"/>
  <c r="Z17"/>
  <c r="Z18" s="1"/>
  <c r="Z19" s="1"/>
  <c r="Z20" s="1"/>
  <c r="Z21" s="1"/>
  <c r="Z22" s="1"/>
  <c r="Z23" s="1"/>
  <c r="Z24" s="1"/>
  <c r="Z25" s="1"/>
  <c r="Z26" s="1"/>
  <c r="P17"/>
  <c r="N17"/>
  <c r="L17"/>
  <c r="R17" s="1"/>
  <c r="P16"/>
  <c r="N16"/>
  <c r="L16"/>
  <c r="V15"/>
  <c r="U15" s="1"/>
  <c r="U16" s="1"/>
  <c r="V17" s="1"/>
  <c r="X17" s="1"/>
  <c r="P15"/>
  <c r="N15"/>
  <c r="L15"/>
  <c r="R14"/>
  <c r="P14"/>
  <c r="P13"/>
  <c r="R13" s="1"/>
  <c r="P12"/>
  <c r="N12"/>
  <c r="L12"/>
  <c r="P11"/>
  <c r="N11"/>
  <c r="V10"/>
  <c r="U10" s="1"/>
  <c r="U11" s="1"/>
  <c r="V12" s="1"/>
  <c r="X12" s="1"/>
  <c r="P10"/>
  <c r="N10"/>
  <c r="P9"/>
  <c r="N9"/>
  <c r="L9"/>
  <c r="R9" s="1"/>
  <c r="P8"/>
  <c r="N8"/>
  <c r="L8"/>
  <c r="R8" s="1"/>
  <c r="P7"/>
  <c r="N7"/>
  <c r="N43" s="1"/>
  <c r="L7"/>
  <c r="R7" s="1"/>
  <c r="P6"/>
  <c r="R6" s="1"/>
  <c r="V5"/>
  <c r="U5" s="1"/>
  <c r="U6" s="1"/>
  <c r="V7" s="1"/>
  <c r="X7" s="1"/>
  <c r="P5"/>
  <c r="L5"/>
  <c r="P4"/>
  <c r="L4"/>
  <c r="T2"/>
  <c r="R36" i="87"/>
  <c r="P34"/>
  <c r="P29"/>
  <c r="Z49"/>
  <c r="AA48"/>
  <c r="AB48" s="1"/>
  <c r="AB47"/>
  <c r="AC47" s="1"/>
  <c r="AA47"/>
  <c r="J44"/>
  <c r="S43"/>
  <c r="Q43"/>
  <c r="M43"/>
  <c r="K43"/>
  <c r="P42"/>
  <c r="N42"/>
  <c r="R42" s="1"/>
  <c r="W41"/>
  <c r="W42" s="1"/>
  <c r="P41"/>
  <c r="R41" s="1"/>
  <c r="W40"/>
  <c r="P40"/>
  <c r="N40"/>
  <c r="L40"/>
  <c r="P39"/>
  <c r="L39"/>
  <c r="R39" s="1"/>
  <c r="P38"/>
  <c r="R38" s="1"/>
  <c r="P37"/>
  <c r="R37" s="1"/>
  <c r="P36"/>
  <c r="N36"/>
  <c r="P35"/>
  <c r="R35" s="1"/>
  <c r="R34"/>
  <c r="L34"/>
  <c r="P33"/>
  <c r="R33" s="1"/>
  <c r="P32"/>
  <c r="N32"/>
  <c r="R32" s="1"/>
  <c r="L32"/>
  <c r="R31"/>
  <c r="P31"/>
  <c r="P30"/>
  <c r="R30" s="1"/>
  <c r="N30"/>
  <c r="L30"/>
  <c r="O43"/>
  <c r="N29"/>
  <c r="L29"/>
  <c r="AA28"/>
  <c r="AA29" s="1"/>
  <c r="P28"/>
  <c r="N28"/>
  <c r="AA27"/>
  <c r="P27"/>
  <c r="R27" s="1"/>
  <c r="P26"/>
  <c r="N26"/>
  <c r="L26"/>
  <c r="P25"/>
  <c r="N25"/>
  <c r="L25"/>
  <c r="R25" s="1"/>
  <c r="P24"/>
  <c r="N24"/>
  <c r="L24"/>
  <c r="P23"/>
  <c r="R23" s="1"/>
  <c r="P22"/>
  <c r="R22" s="1"/>
  <c r="P21"/>
  <c r="N21"/>
  <c r="P20"/>
  <c r="N20"/>
  <c r="W19"/>
  <c r="V20" s="1"/>
  <c r="U20" s="1"/>
  <c r="U21" s="1"/>
  <c r="V22" s="1"/>
  <c r="X22" s="1"/>
  <c r="V19"/>
  <c r="P19"/>
  <c r="N19"/>
  <c r="P18"/>
  <c r="N18"/>
  <c r="L18"/>
  <c r="Z17"/>
  <c r="Z18" s="1"/>
  <c r="Z19" s="1"/>
  <c r="Z20" s="1"/>
  <c r="Z21" s="1"/>
  <c r="Z22" s="1"/>
  <c r="Z23" s="1"/>
  <c r="Z24" s="1"/>
  <c r="Z25" s="1"/>
  <c r="Z26" s="1"/>
  <c r="P17"/>
  <c r="N17"/>
  <c r="L17"/>
  <c r="P16"/>
  <c r="N16"/>
  <c r="L16"/>
  <c r="V15"/>
  <c r="U15" s="1"/>
  <c r="U16" s="1"/>
  <c r="V17" s="1"/>
  <c r="X17" s="1"/>
  <c r="P15"/>
  <c r="N15"/>
  <c r="R15" s="1"/>
  <c r="L15"/>
  <c r="R14"/>
  <c r="P14"/>
  <c r="P13"/>
  <c r="R13" s="1"/>
  <c r="P12"/>
  <c r="N12"/>
  <c r="L12"/>
  <c r="P11"/>
  <c r="N11"/>
  <c r="R11" s="1"/>
  <c r="V10"/>
  <c r="U10" s="1"/>
  <c r="U11" s="1"/>
  <c r="V12" s="1"/>
  <c r="X12" s="1"/>
  <c r="P10"/>
  <c r="N10"/>
  <c r="P9"/>
  <c r="N9"/>
  <c r="L9"/>
  <c r="P8"/>
  <c r="N8"/>
  <c r="L8"/>
  <c r="R8" s="1"/>
  <c r="P7"/>
  <c r="N7"/>
  <c r="N43" s="1"/>
  <c r="L7"/>
  <c r="P6"/>
  <c r="R6" s="1"/>
  <c r="V5"/>
  <c r="U5" s="1"/>
  <c r="U6" s="1"/>
  <c r="V7" s="1"/>
  <c r="X7" s="1"/>
  <c r="P5"/>
  <c r="L5"/>
  <c r="P4"/>
  <c r="L4"/>
  <c r="T2"/>
  <c r="P34" i="86"/>
  <c r="O34"/>
  <c r="P29"/>
  <c r="O29"/>
  <c r="P37"/>
  <c r="R37" s="1"/>
  <c r="N30"/>
  <c r="N28"/>
  <c r="N25"/>
  <c r="N19"/>
  <c r="N11"/>
  <c r="R43" i="90" l="1"/>
  <c r="R45" s="1"/>
  <c r="R43" i="89"/>
  <c r="R45" s="1"/>
  <c r="R44"/>
  <c r="R24" i="88"/>
  <c r="R21"/>
  <c r="R20"/>
  <c r="R18"/>
  <c r="R16"/>
  <c r="R15"/>
  <c r="R11"/>
  <c r="P43"/>
  <c r="R40"/>
  <c r="R4"/>
  <c r="R5"/>
  <c r="R10"/>
  <c r="R12"/>
  <c r="R26"/>
  <c r="R28"/>
  <c r="R29"/>
  <c r="R34"/>
  <c r="R36"/>
  <c r="R39"/>
  <c r="R42"/>
  <c r="AB49"/>
  <c r="AC49" s="1"/>
  <c r="L43"/>
  <c r="AC48"/>
  <c r="R16" i="87"/>
  <c r="P43"/>
  <c r="R7"/>
  <c r="R9"/>
  <c r="R17"/>
  <c r="R29"/>
  <c r="R4"/>
  <c r="R5"/>
  <c r="R10"/>
  <c r="R12"/>
  <c r="R18"/>
  <c r="R19"/>
  <c r="R20"/>
  <c r="R21"/>
  <c r="R24"/>
  <c r="R26"/>
  <c r="R28"/>
  <c r="R40"/>
  <c r="AB49"/>
  <c r="AC49" s="1"/>
  <c r="AC48"/>
  <c r="L43"/>
  <c r="AA49"/>
  <c r="Z49" i="86"/>
  <c r="AA48"/>
  <c r="AA47"/>
  <c r="AB47" s="1"/>
  <c r="AC47" s="1"/>
  <c r="J44"/>
  <c r="S43"/>
  <c r="Q43"/>
  <c r="O43"/>
  <c r="M43"/>
  <c r="K43"/>
  <c r="P42"/>
  <c r="N42"/>
  <c r="W41"/>
  <c r="P41"/>
  <c r="R41" s="1"/>
  <c r="W40"/>
  <c r="P40"/>
  <c r="N40"/>
  <c r="L40"/>
  <c r="P39"/>
  <c r="L39"/>
  <c r="P38"/>
  <c r="R38" s="1"/>
  <c r="P36"/>
  <c r="N36"/>
  <c r="R36" s="1"/>
  <c r="P35"/>
  <c r="R35" s="1"/>
  <c r="L34"/>
  <c r="R33"/>
  <c r="P33"/>
  <c r="P32"/>
  <c r="N32"/>
  <c r="L32"/>
  <c r="P31"/>
  <c r="R31" s="1"/>
  <c r="P30"/>
  <c r="L30"/>
  <c r="R30" s="1"/>
  <c r="N29"/>
  <c r="L29"/>
  <c r="AA28"/>
  <c r="P28"/>
  <c r="R28" s="1"/>
  <c r="AA27"/>
  <c r="P27"/>
  <c r="R27" s="1"/>
  <c r="P26"/>
  <c r="N26"/>
  <c r="L26"/>
  <c r="P25"/>
  <c r="L25"/>
  <c r="P24"/>
  <c r="N24"/>
  <c r="L24"/>
  <c r="P23"/>
  <c r="R23" s="1"/>
  <c r="P22"/>
  <c r="R22" s="1"/>
  <c r="P21"/>
  <c r="N21"/>
  <c r="P20"/>
  <c r="N20"/>
  <c r="V19"/>
  <c r="W19" s="1"/>
  <c r="V20" s="1"/>
  <c r="U20" s="1"/>
  <c r="U21" s="1"/>
  <c r="V22" s="1"/>
  <c r="X22" s="1"/>
  <c r="P19"/>
  <c r="R19" s="1"/>
  <c r="P18"/>
  <c r="N18"/>
  <c r="L18"/>
  <c r="Z17"/>
  <c r="Z18" s="1"/>
  <c r="Z19" s="1"/>
  <c r="Z20" s="1"/>
  <c r="Z21" s="1"/>
  <c r="Z22" s="1"/>
  <c r="Z23" s="1"/>
  <c r="Z24" s="1"/>
  <c r="Z25" s="1"/>
  <c r="Z26" s="1"/>
  <c r="P17"/>
  <c r="N17"/>
  <c r="L17"/>
  <c r="P16"/>
  <c r="N16"/>
  <c r="L16"/>
  <c r="R16" s="1"/>
  <c r="V15"/>
  <c r="U15"/>
  <c r="U16" s="1"/>
  <c r="V17" s="1"/>
  <c r="X17" s="1"/>
  <c r="P15"/>
  <c r="N15"/>
  <c r="L15"/>
  <c r="P14"/>
  <c r="R14" s="1"/>
  <c r="P13"/>
  <c r="R13" s="1"/>
  <c r="P12"/>
  <c r="N12"/>
  <c r="L12"/>
  <c r="R12" s="1"/>
  <c r="P11"/>
  <c r="R11" s="1"/>
  <c r="V10"/>
  <c r="U10" s="1"/>
  <c r="U11" s="1"/>
  <c r="V12" s="1"/>
  <c r="X12" s="1"/>
  <c r="P10"/>
  <c r="N10"/>
  <c r="P9"/>
  <c r="N9"/>
  <c r="L9"/>
  <c r="P8"/>
  <c r="N8"/>
  <c r="L8"/>
  <c r="R8" s="1"/>
  <c r="P7"/>
  <c r="N7"/>
  <c r="L7"/>
  <c r="P6"/>
  <c r="R6" s="1"/>
  <c r="V5"/>
  <c r="U5" s="1"/>
  <c r="U6" s="1"/>
  <c r="V7" s="1"/>
  <c r="X7" s="1"/>
  <c r="P5"/>
  <c r="L5"/>
  <c r="P4"/>
  <c r="L4"/>
  <c r="T2"/>
  <c r="P14" i="85"/>
  <c r="R14" s="1"/>
  <c r="Z49"/>
  <c r="AA48"/>
  <c r="AB48" s="1"/>
  <c r="AA47"/>
  <c r="AB47" s="1"/>
  <c r="AC47" s="1"/>
  <c r="J44"/>
  <c r="S43"/>
  <c r="Q43"/>
  <c r="O43"/>
  <c r="M43"/>
  <c r="K43"/>
  <c r="P42"/>
  <c r="N42"/>
  <c r="P41"/>
  <c r="R41" s="1"/>
  <c r="P40"/>
  <c r="N40"/>
  <c r="R40" s="1"/>
  <c r="L40"/>
  <c r="W41"/>
  <c r="W40"/>
  <c r="P39"/>
  <c r="N39"/>
  <c r="L39"/>
  <c r="P38"/>
  <c r="R38" s="1"/>
  <c r="P37"/>
  <c r="N37"/>
  <c r="P36"/>
  <c r="R36" s="1"/>
  <c r="P35"/>
  <c r="L35"/>
  <c r="P34"/>
  <c r="R34" s="1"/>
  <c r="P33"/>
  <c r="N33"/>
  <c r="L33"/>
  <c r="P32"/>
  <c r="R32" s="1"/>
  <c r="P31"/>
  <c r="N31"/>
  <c r="L31"/>
  <c r="P30"/>
  <c r="N30"/>
  <c r="L30"/>
  <c r="P29"/>
  <c r="R29" s="1"/>
  <c r="AA29"/>
  <c r="P28"/>
  <c r="R28" s="1"/>
  <c r="AA28"/>
  <c r="AA30" s="1"/>
  <c r="P27"/>
  <c r="N27"/>
  <c r="L27"/>
  <c r="P26"/>
  <c r="N26"/>
  <c r="L26"/>
  <c r="P25"/>
  <c r="N25"/>
  <c r="L25"/>
  <c r="P24"/>
  <c r="R24" s="1"/>
  <c r="P23"/>
  <c r="R23" s="1"/>
  <c r="P22"/>
  <c r="N22"/>
  <c r="P21"/>
  <c r="N21"/>
  <c r="P20"/>
  <c r="R20" s="1"/>
  <c r="V20"/>
  <c r="W20" s="1"/>
  <c r="P19"/>
  <c r="N19"/>
  <c r="L19"/>
  <c r="P18"/>
  <c r="N18"/>
  <c r="L18"/>
  <c r="Z18"/>
  <c r="Z19" s="1"/>
  <c r="Z20" s="1"/>
  <c r="Z21" s="1"/>
  <c r="Z22" s="1"/>
  <c r="Z23" s="1"/>
  <c r="Z24" s="1"/>
  <c r="Z25" s="1"/>
  <c r="Z26" s="1"/>
  <c r="Z27" s="1"/>
  <c r="P17"/>
  <c r="N17"/>
  <c r="L17"/>
  <c r="P16"/>
  <c r="N16"/>
  <c r="L16"/>
  <c r="V16"/>
  <c r="U16" s="1"/>
  <c r="U17" s="1"/>
  <c r="V18" s="1"/>
  <c r="X18" s="1"/>
  <c r="P15"/>
  <c r="R15" s="1"/>
  <c r="P13"/>
  <c r="N13"/>
  <c r="L13"/>
  <c r="P12"/>
  <c r="R12" s="1"/>
  <c r="P11"/>
  <c r="N11"/>
  <c r="V11"/>
  <c r="U11" s="1"/>
  <c r="U12" s="1"/>
  <c r="V13" s="1"/>
  <c r="X13" s="1"/>
  <c r="P10"/>
  <c r="N10"/>
  <c r="L10"/>
  <c r="P9"/>
  <c r="N9"/>
  <c r="L9"/>
  <c r="P8"/>
  <c r="N8"/>
  <c r="L8"/>
  <c r="P7"/>
  <c r="R7" s="1"/>
  <c r="P6"/>
  <c r="L6"/>
  <c r="V6"/>
  <c r="U6" s="1"/>
  <c r="U7" s="1"/>
  <c r="V8" s="1"/>
  <c r="X8" s="1"/>
  <c r="P5"/>
  <c r="L5"/>
  <c r="Z3"/>
  <c r="T3"/>
  <c r="Z49" i="84"/>
  <c r="AA48"/>
  <c r="AB48" s="1"/>
  <c r="AB47"/>
  <c r="AC47" s="1"/>
  <c r="AA47"/>
  <c r="J46"/>
  <c r="S45"/>
  <c r="O45"/>
  <c r="M45"/>
  <c r="K45"/>
  <c r="P44"/>
  <c r="N44"/>
  <c r="R44" s="1"/>
  <c r="P43"/>
  <c r="R43" s="1"/>
  <c r="P42"/>
  <c r="N42"/>
  <c r="L42"/>
  <c r="W41"/>
  <c r="W42" s="1"/>
  <c r="P41"/>
  <c r="N41"/>
  <c r="L41"/>
  <c r="R41" s="1"/>
  <c r="W40"/>
  <c r="P40"/>
  <c r="N40"/>
  <c r="L40"/>
  <c r="P39"/>
  <c r="R39" s="1"/>
  <c r="P38"/>
  <c r="R38" s="1"/>
  <c r="N38"/>
  <c r="P37"/>
  <c r="R37" s="1"/>
  <c r="P36"/>
  <c r="L36"/>
  <c r="R36" s="1"/>
  <c r="P35"/>
  <c r="R35" s="1"/>
  <c r="P34"/>
  <c r="N34"/>
  <c r="L34"/>
  <c r="R34" s="1"/>
  <c r="P33"/>
  <c r="R33" s="1"/>
  <c r="P32"/>
  <c r="N32"/>
  <c r="L32"/>
  <c r="R32" s="1"/>
  <c r="P31"/>
  <c r="N31"/>
  <c r="L31"/>
  <c r="R31" s="1"/>
  <c r="P30"/>
  <c r="R30" s="1"/>
  <c r="AA29"/>
  <c r="AA30" s="1"/>
  <c r="R29"/>
  <c r="P29"/>
  <c r="AA28"/>
  <c r="P28"/>
  <c r="N28"/>
  <c r="L28"/>
  <c r="R28" s="1"/>
  <c r="P27"/>
  <c r="N27"/>
  <c r="L27"/>
  <c r="R27" s="1"/>
  <c r="P26"/>
  <c r="N26"/>
  <c r="L26"/>
  <c r="R26" s="1"/>
  <c r="R25"/>
  <c r="P25"/>
  <c r="P24"/>
  <c r="R24" s="1"/>
  <c r="P23"/>
  <c r="N23"/>
  <c r="R23" s="1"/>
  <c r="P22"/>
  <c r="N22"/>
  <c r="R22" s="1"/>
  <c r="P21"/>
  <c r="R21" s="1"/>
  <c r="W20"/>
  <c r="V20"/>
  <c r="V21" s="1"/>
  <c r="U21" s="1"/>
  <c r="U22" s="1"/>
  <c r="V23" s="1"/>
  <c r="X23" s="1"/>
  <c r="P20"/>
  <c r="N20"/>
  <c r="L20"/>
  <c r="Z19"/>
  <c r="Z20" s="1"/>
  <c r="Z21" s="1"/>
  <c r="Z22" s="1"/>
  <c r="Z23" s="1"/>
  <c r="Z24" s="1"/>
  <c r="Z25" s="1"/>
  <c r="Z26" s="1"/>
  <c r="Z27" s="1"/>
  <c r="P19"/>
  <c r="N19"/>
  <c r="L19"/>
  <c r="R19" s="1"/>
  <c r="Z18"/>
  <c r="P18"/>
  <c r="N18"/>
  <c r="L18"/>
  <c r="P17"/>
  <c r="N17"/>
  <c r="L17"/>
  <c r="R17" s="1"/>
  <c r="V16"/>
  <c r="U16"/>
  <c r="U17" s="1"/>
  <c r="V18" s="1"/>
  <c r="X18" s="1"/>
  <c r="P16"/>
  <c r="R16" s="1"/>
  <c r="P15"/>
  <c r="N15"/>
  <c r="L15"/>
  <c r="R15" s="1"/>
  <c r="P14"/>
  <c r="R14" s="1"/>
  <c r="P13"/>
  <c r="R13" s="1"/>
  <c r="P12"/>
  <c r="R12" s="1"/>
  <c r="N12"/>
  <c r="V11"/>
  <c r="U11" s="1"/>
  <c r="U12" s="1"/>
  <c r="V13" s="1"/>
  <c r="X13" s="1"/>
  <c r="P11"/>
  <c r="N11"/>
  <c r="R11" s="1"/>
  <c r="L11"/>
  <c r="P10"/>
  <c r="N10"/>
  <c r="L10"/>
  <c r="P9"/>
  <c r="N9"/>
  <c r="R9" s="1"/>
  <c r="L9"/>
  <c r="Q45"/>
  <c r="P8"/>
  <c r="R8" s="1"/>
  <c r="P7"/>
  <c r="L7"/>
  <c r="V6"/>
  <c r="U6"/>
  <c r="U7" s="1"/>
  <c r="V8" s="1"/>
  <c r="X8" s="1"/>
  <c r="P6"/>
  <c r="N6"/>
  <c r="N45" s="1"/>
  <c r="L6"/>
  <c r="R6" s="1"/>
  <c r="P5"/>
  <c r="L5"/>
  <c r="R5" s="1"/>
  <c r="Z3"/>
  <c r="T3"/>
  <c r="R46" i="83"/>
  <c r="Q8"/>
  <c r="Q30"/>
  <c r="Q24"/>
  <c r="Q27"/>
  <c r="Q12"/>
  <c r="Q23"/>
  <c r="Q33"/>
  <c r="Q28"/>
  <c r="Q32"/>
  <c r="Q38"/>
  <c r="W42"/>
  <c r="W40"/>
  <c r="W41"/>
  <c r="Z49"/>
  <c r="AB48"/>
  <c r="AA48"/>
  <c r="AA49" s="1"/>
  <c r="AA47"/>
  <c r="AB47" s="1"/>
  <c r="AC47" s="1"/>
  <c r="J46"/>
  <c r="S45"/>
  <c r="O45"/>
  <c r="M45"/>
  <c r="K45"/>
  <c r="P44"/>
  <c r="N44"/>
  <c r="P43"/>
  <c r="R43" s="1"/>
  <c r="P42"/>
  <c r="N42"/>
  <c r="L42"/>
  <c r="R42" s="1"/>
  <c r="P41"/>
  <c r="N41"/>
  <c r="L41"/>
  <c r="R41" s="1"/>
  <c r="P40"/>
  <c r="N40"/>
  <c r="L40"/>
  <c r="R40" s="1"/>
  <c r="P39"/>
  <c r="R39" s="1"/>
  <c r="P38"/>
  <c r="N38"/>
  <c r="R37"/>
  <c r="P37"/>
  <c r="P36"/>
  <c r="L36"/>
  <c r="P35"/>
  <c r="R35" s="1"/>
  <c r="P34"/>
  <c r="N34"/>
  <c r="L34"/>
  <c r="R34" s="1"/>
  <c r="P33"/>
  <c r="R33" s="1"/>
  <c r="P32"/>
  <c r="N32"/>
  <c r="L32"/>
  <c r="P31"/>
  <c r="N31"/>
  <c r="L31"/>
  <c r="R31" s="1"/>
  <c r="P30"/>
  <c r="R30" s="1"/>
  <c r="AA29"/>
  <c r="AA30" s="1"/>
  <c r="P29"/>
  <c r="R29" s="1"/>
  <c r="AA28"/>
  <c r="P28"/>
  <c r="N28"/>
  <c r="L28"/>
  <c r="P27"/>
  <c r="N27"/>
  <c r="L27"/>
  <c r="R27" s="1"/>
  <c r="P26"/>
  <c r="N26"/>
  <c r="L26"/>
  <c r="P25"/>
  <c r="R25" s="1"/>
  <c r="P24"/>
  <c r="R24" s="1"/>
  <c r="P23"/>
  <c r="N23"/>
  <c r="P22"/>
  <c r="N22"/>
  <c r="R21"/>
  <c r="P21"/>
  <c r="V20"/>
  <c r="P20"/>
  <c r="N20"/>
  <c r="L20"/>
  <c r="R20" s="1"/>
  <c r="P19"/>
  <c r="N19"/>
  <c r="L19"/>
  <c r="Z18"/>
  <c r="Z19" s="1"/>
  <c r="Z20" s="1"/>
  <c r="Z21" s="1"/>
  <c r="Z22" s="1"/>
  <c r="Z23" s="1"/>
  <c r="Z24" s="1"/>
  <c r="Z25" s="1"/>
  <c r="Z26" s="1"/>
  <c r="Z27" s="1"/>
  <c r="P18"/>
  <c r="N18"/>
  <c r="L18"/>
  <c r="R18" s="1"/>
  <c r="P17"/>
  <c r="N17"/>
  <c r="L17"/>
  <c r="V16"/>
  <c r="U16" s="1"/>
  <c r="U17" s="1"/>
  <c r="V18" s="1"/>
  <c r="X18" s="1"/>
  <c r="P16"/>
  <c r="R16" s="1"/>
  <c r="P15"/>
  <c r="N15"/>
  <c r="L15"/>
  <c r="R14"/>
  <c r="P14"/>
  <c r="P13"/>
  <c r="R13" s="1"/>
  <c r="P12"/>
  <c r="N12"/>
  <c r="V11"/>
  <c r="U11" s="1"/>
  <c r="U12" s="1"/>
  <c r="V13" s="1"/>
  <c r="X13" s="1"/>
  <c r="P11"/>
  <c r="N11"/>
  <c r="R11" s="1"/>
  <c r="L11"/>
  <c r="P10"/>
  <c r="N10"/>
  <c r="L10"/>
  <c r="P9"/>
  <c r="N9"/>
  <c r="R9" s="1"/>
  <c r="L9"/>
  <c r="P8"/>
  <c r="R8" s="1"/>
  <c r="P7"/>
  <c r="L7"/>
  <c r="V6"/>
  <c r="U6" s="1"/>
  <c r="U7" s="1"/>
  <c r="V8" s="1"/>
  <c r="X8" s="1"/>
  <c r="P6"/>
  <c r="N6"/>
  <c r="R6" s="1"/>
  <c r="L6"/>
  <c r="P5"/>
  <c r="L5"/>
  <c r="Z3"/>
  <c r="T3"/>
  <c r="Z49" i="82"/>
  <c r="AA48"/>
  <c r="AB48" s="1"/>
  <c r="AB49" s="1"/>
  <c r="AC49" s="1"/>
  <c r="AA47"/>
  <c r="AB47" s="1"/>
  <c r="AC47" s="1"/>
  <c r="J46"/>
  <c r="S45"/>
  <c r="O45"/>
  <c r="M45"/>
  <c r="K45"/>
  <c r="P44"/>
  <c r="N44"/>
  <c r="R44" s="1"/>
  <c r="P43"/>
  <c r="R43" s="1"/>
  <c r="V42"/>
  <c r="P42"/>
  <c r="N42"/>
  <c r="L42"/>
  <c r="P41"/>
  <c r="N41"/>
  <c r="L41"/>
  <c r="R41" s="1"/>
  <c r="P40"/>
  <c r="N40"/>
  <c r="L40"/>
  <c r="P39"/>
  <c r="R39" s="1"/>
  <c r="P38"/>
  <c r="N38"/>
  <c r="P37"/>
  <c r="R37" s="1"/>
  <c r="P36"/>
  <c r="L36"/>
  <c r="P35"/>
  <c r="R35" s="1"/>
  <c r="P34"/>
  <c r="N34"/>
  <c r="R34" s="1"/>
  <c r="L34"/>
  <c r="R33"/>
  <c r="P33"/>
  <c r="P32"/>
  <c r="N32"/>
  <c r="L32"/>
  <c r="P31"/>
  <c r="N31"/>
  <c r="L31"/>
  <c r="P30"/>
  <c r="R30" s="1"/>
  <c r="AA29"/>
  <c r="P29"/>
  <c r="R29" s="1"/>
  <c r="AA28"/>
  <c r="P28"/>
  <c r="N28"/>
  <c r="L28"/>
  <c r="P27"/>
  <c r="N27"/>
  <c r="L27"/>
  <c r="P26"/>
  <c r="N26"/>
  <c r="L26"/>
  <c r="P25"/>
  <c r="R25" s="1"/>
  <c r="P24"/>
  <c r="R24" s="1"/>
  <c r="P23"/>
  <c r="N23"/>
  <c r="P22"/>
  <c r="N22"/>
  <c r="P21"/>
  <c r="R21" s="1"/>
  <c r="V20"/>
  <c r="W20" s="1"/>
  <c r="P20"/>
  <c r="N20"/>
  <c r="L20"/>
  <c r="P19"/>
  <c r="N19"/>
  <c r="L19"/>
  <c r="Z18"/>
  <c r="Z19" s="1"/>
  <c r="Z20" s="1"/>
  <c r="Z21" s="1"/>
  <c r="Z22" s="1"/>
  <c r="Z23" s="1"/>
  <c r="Z24" s="1"/>
  <c r="Z25" s="1"/>
  <c r="Z26" s="1"/>
  <c r="Z27" s="1"/>
  <c r="P18"/>
  <c r="N18"/>
  <c r="L18"/>
  <c r="P17"/>
  <c r="N17"/>
  <c r="L17"/>
  <c r="V16"/>
  <c r="U16" s="1"/>
  <c r="U17" s="1"/>
  <c r="V18" s="1"/>
  <c r="X18" s="1"/>
  <c r="P16"/>
  <c r="R16" s="1"/>
  <c r="P15"/>
  <c r="N15"/>
  <c r="L15"/>
  <c r="P14"/>
  <c r="R14" s="1"/>
  <c r="P13"/>
  <c r="R13" s="1"/>
  <c r="P12"/>
  <c r="N12"/>
  <c r="V11"/>
  <c r="U11" s="1"/>
  <c r="U12" s="1"/>
  <c r="V13" s="1"/>
  <c r="X13" s="1"/>
  <c r="P11"/>
  <c r="N11"/>
  <c r="L11"/>
  <c r="P10"/>
  <c r="N10"/>
  <c r="L10"/>
  <c r="P9"/>
  <c r="N9"/>
  <c r="L9"/>
  <c r="Q45"/>
  <c r="P8"/>
  <c r="R8" s="1"/>
  <c r="P7"/>
  <c r="L7"/>
  <c r="V6"/>
  <c r="U6" s="1"/>
  <c r="U7" s="1"/>
  <c r="V8" s="1"/>
  <c r="X8" s="1"/>
  <c r="P6"/>
  <c r="N6"/>
  <c r="L6"/>
  <c r="P5"/>
  <c r="L5"/>
  <c r="Z3"/>
  <c r="T3"/>
  <c r="Q38" i="81"/>
  <c r="Q23"/>
  <c r="Q12"/>
  <c r="Q8"/>
  <c r="Q30"/>
  <c r="V42"/>
  <c r="N38"/>
  <c r="N28"/>
  <c r="N23"/>
  <c r="N12"/>
  <c r="R44" i="88" l="1"/>
  <c r="R43"/>
  <c r="R45" s="1"/>
  <c r="R43" i="87"/>
  <c r="R45" s="1"/>
  <c r="R44"/>
  <c r="R40" i="86"/>
  <c r="R21"/>
  <c r="R20"/>
  <c r="P43"/>
  <c r="W42"/>
  <c r="AA49"/>
  <c r="R7"/>
  <c r="R9"/>
  <c r="R15"/>
  <c r="AA29"/>
  <c r="R29"/>
  <c r="AB48"/>
  <c r="N43"/>
  <c r="R25"/>
  <c r="R18"/>
  <c r="R17"/>
  <c r="R4"/>
  <c r="R5"/>
  <c r="R10"/>
  <c r="R24"/>
  <c r="R26"/>
  <c r="R32"/>
  <c r="R34"/>
  <c r="R39"/>
  <c r="R42"/>
  <c r="AB49"/>
  <c r="AC49" s="1"/>
  <c r="L43"/>
  <c r="AC48"/>
  <c r="R25" i="85"/>
  <c r="R27"/>
  <c r="R30"/>
  <c r="R35"/>
  <c r="R8"/>
  <c r="R10"/>
  <c r="R18"/>
  <c r="R39"/>
  <c r="W42"/>
  <c r="N43"/>
  <c r="R9"/>
  <c r="R13"/>
  <c r="R16"/>
  <c r="V21"/>
  <c r="U21" s="1"/>
  <c r="U22" s="1"/>
  <c r="V23" s="1"/>
  <c r="X23" s="1"/>
  <c r="R22"/>
  <c r="R33"/>
  <c r="R5"/>
  <c r="R21"/>
  <c r="P43"/>
  <c r="R6"/>
  <c r="R11"/>
  <c r="R17"/>
  <c r="R19"/>
  <c r="R26"/>
  <c r="R31"/>
  <c r="R37"/>
  <c r="R42"/>
  <c r="AB49"/>
  <c r="AC49" s="1"/>
  <c r="AC48"/>
  <c r="L43"/>
  <c r="AA49"/>
  <c r="P45" i="84"/>
  <c r="R7"/>
  <c r="R10"/>
  <c r="R18"/>
  <c r="R20"/>
  <c r="R40"/>
  <c r="R42"/>
  <c r="R46"/>
  <c r="AB49"/>
  <c r="AC49" s="1"/>
  <c r="AC48"/>
  <c r="L45"/>
  <c r="AA49"/>
  <c r="Q45" i="83"/>
  <c r="R32"/>
  <c r="R17"/>
  <c r="R15"/>
  <c r="P45"/>
  <c r="R5"/>
  <c r="R7"/>
  <c r="R10"/>
  <c r="R12"/>
  <c r="R19"/>
  <c r="R22"/>
  <c r="R23"/>
  <c r="R26"/>
  <c r="R28"/>
  <c r="R36"/>
  <c r="R38"/>
  <c r="R44"/>
  <c r="AB49"/>
  <c r="AC49" s="1"/>
  <c r="W20"/>
  <c r="V21" s="1"/>
  <c r="U21" s="1"/>
  <c r="U22" s="1"/>
  <c r="V23" s="1"/>
  <c r="X23" s="1"/>
  <c r="L45"/>
  <c r="N45"/>
  <c r="AC48"/>
  <c r="L45" i="82"/>
  <c r="R17"/>
  <c r="R23"/>
  <c r="AA49"/>
  <c r="N45"/>
  <c r="R12"/>
  <c r="R20"/>
  <c r="R27"/>
  <c r="AA30"/>
  <c r="R36"/>
  <c r="R15"/>
  <c r="R10"/>
  <c r="P45"/>
  <c r="R7"/>
  <c r="R19"/>
  <c r="R22"/>
  <c r="R32"/>
  <c r="R38"/>
  <c r="R18"/>
  <c r="R9"/>
  <c r="R11"/>
  <c r="R26"/>
  <c r="R28"/>
  <c r="R31"/>
  <c r="R40"/>
  <c r="R42"/>
  <c r="AC48"/>
  <c r="R5"/>
  <c r="R6"/>
  <c r="V21"/>
  <c r="U21" s="1"/>
  <c r="U22" s="1"/>
  <c r="V23" s="1"/>
  <c r="X23" s="1"/>
  <c r="Z49" i="81"/>
  <c r="AA48"/>
  <c r="AB48" s="1"/>
  <c r="AB47"/>
  <c r="AC47" s="1"/>
  <c r="AA47"/>
  <c r="J46"/>
  <c r="S45"/>
  <c r="Q45"/>
  <c r="O45"/>
  <c r="M45"/>
  <c r="K45"/>
  <c r="P44"/>
  <c r="N44"/>
  <c r="P43"/>
  <c r="R43" s="1"/>
  <c r="P42"/>
  <c r="N42"/>
  <c r="L42"/>
  <c r="P41"/>
  <c r="N41"/>
  <c r="L41"/>
  <c r="R41" s="1"/>
  <c r="P40"/>
  <c r="N40"/>
  <c r="L40"/>
  <c r="P39"/>
  <c r="R39" s="1"/>
  <c r="P38"/>
  <c r="R38" s="1"/>
  <c r="P37"/>
  <c r="R37" s="1"/>
  <c r="P36"/>
  <c r="L36"/>
  <c r="R36" s="1"/>
  <c r="P35"/>
  <c r="R35" s="1"/>
  <c r="P34"/>
  <c r="N34"/>
  <c r="L34"/>
  <c r="P33"/>
  <c r="P32"/>
  <c r="N32"/>
  <c r="L32"/>
  <c r="P31"/>
  <c r="N31"/>
  <c r="L31"/>
  <c r="R30"/>
  <c r="P30"/>
  <c r="AA29"/>
  <c r="P29"/>
  <c r="R29" s="1"/>
  <c r="AA28"/>
  <c r="P28"/>
  <c r="L28"/>
  <c r="R28" s="1"/>
  <c r="P27"/>
  <c r="N27"/>
  <c r="R27" s="1"/>
  <c r="L27"/>
  <c r="P26"/>
  <c r="N26"/>
  <c r="L26"/>
  <c r="P25"/>
  <c r="R25" s="1"/>
  <c r="P24"/>
  <c r="R24" s="1"/>
  <c r="P23"/>
  <c r="R23" s="1"/>
  <c r="P22"/>
  <c r="N22"/>
  <c r="P21"/>
  <c r="R21" s="1"/>
  <c r="V20"/>
  <c r="W20" s="1"/>
  <c r="P20"/>
  <c r="N20"/>
  <c r="L20"/>
  <c r="P19"/>
  <c r="N19"/>
  <c r="L19"/>
  <c r="Z18"/>
  <c r="Z19" s="1"/>
  <c r="Z20" s="1"/>
  <c r="Z21" s="1"/>
  <c r="Z22" s="1"/>
  <c r="Z23" s="1"/>
  <c r="Z24" s="1"/>
  <c r="Z25" s="1"/>
  <c r="Z26" s="1"/>
  <c r="Z27" s="1"/>
  <c r="P18"/>
  <c r="N18"/>
  <c r="L18"/>
  <c r="R18" s="1"/>
  <c r="P17"/>
  <c r="N17"/>
  <c r="R17" s="1"/>
  <c r="L17"/>
  <c r="V16"/>
  <c r="U16" s="1"/>
  <c r="U17" s="1"/>
  <c r="V18" s="1"/>
  <c r="X18" s="1"/>
  <c r="P16"/>
  <c r="R16" s="1"/>
  <c r="P15"/>
  <c r="N15"/>
  <c r="L15"/>
  <c r="P14"/>
  <c r="R14" s="1"/>
  <c r="P13"/>
  <c r="R13" s="1"/>
  <c r="P12"/>
  <c r="V11"/>
  <c r="U11" s="1"/>
  <c r="U12" s="1"/>
  <c r="V13" s="1"/>
  <c r="X13" s="1"/>
  <c r="P11"/>
  <c r="N11"/>
  <c r="R11" s="1"/>
  <c r="L11"/>
  <c r="P10"/>
  <c r="N10"/>
  <c r="L10"/>
  <c r="P9"/>
  <c r="N9"/>
  <c r="L9"/>
  <c r="R8"/>
  <c r="P8"/>
  <c r="P7"/>
  <c r="L7"/>
  <c r="V6"/>
  <c r="U6" s="1"/>
  <c r="U7" s="1"/>
  <c r="V8" s="1"/>
  <c r="X8" s="1"/>
  <c r="P6"/>
  <c r="N6"/>
  <c r="L6"/>
  <c r="P5"/>
  <c r="L5"/>
  <c r="Z3"/>
  <c r="T3"/>
  <c r="N27" i="80"/>
  <c r="Z49"/>
  <c r="AA48"/>
  <c r="AB48" s="1"/>
  <c r="AB47"/>
  <c r="AC47" s="1"/>
  <c r="AA47"/>
  <c r="J46"/>
  <c r="S45"/>
  <c r="Q45"/>
  <c r="O45"/>
  <c r="M45"/>
  <c r="K45"/>
  <c r="P44"/>
  <c r="N44"/>
  <c r="P43"/>
  <c r="R43" s="1"/>
  <c r="P42"/>
  <c r="N42"/>
  <c r="L42"/>
  <c r="R42" s="1"/>
  <c r="P41"/>
  <c r="N41"/>
  <c r="L41"/>
  <c r="R41" s="1"/>
  <c r="P40"/>
  <c r="N40"/>
  <c r="L40"/>
  <c r="R40" s="1"/>
  <c r="P39"/>
  <c r="R39" s="1"/>
  <c r="P38"/>
  <c r="R38"/>
  <c r="P37"/>
  <c r="R37" s="1"/>
  <c r="P36"/>
  <c r="L36"/>
  <c r="R36" s="1"/>
  <c r="P35"/>
  <c r="R35"/>
  <c r="P34"/>
  <c r="N34"/>
  <c r="L34"/>
  <c r="P33"/>
  <c r="N33"/>
  <c r="P32"/>
  <c r="N32"/>
  <c r="L32"/>
  <c r="P31"/>
  <c r="N31"/>
  <c r="L31"/>
  <c r="P30"/>
  <c r="R30"/>
  <c r="AA29"/>
  <c r="AA30" s="1"/>
  <c r="P29"/>
  <c r="R29" s="1"/>
  <c r="AA28"/>
  <c r="P28"/>
  <c r="L28"/>
  <c r="P27"/>
  <c r="L27"/>
  <c r="P26"/>
  <c r="N26"/>
  <c r="L26"/>
  <c r="P25"/>
  <c r="R25" s="1"/>
  <c r="P24"/>
  <c r="R24" s="1"/>
  <c r="P23"/>
  <c r="P22"/>
  <c r="N22"/>
  <c r="P21"/>
  <c r="W20"/>
  <c r="V21" s="1"/>
  <c r="U21" s="1"/>
  <c r="U22" s="1"/>
  <c r="V23" s="1"/>
  <c r="X23" s="1"/>
  <c r="V20"/>
  <c r="P20"/>
  <c r="N20"/>
  <c r="L20"/>
  <c r="Z19"/>
  <c r="Z20" s="1"/>
  <c r="Z21" s="1"/>
  <c r="Z22" s="1"/>
  <c r="Z23" s="1"/>
  <c r="Z24" s="1"/>
  <c r="Z25" s="1"/>
  <c r="Z26" s="1"/>
  <c r="Z27" s="1"/>
  <c r="P19"/>
  <c r="N19"/>
  <c r="L19"/>
  <c r="R19" s="1"/>
  <c r="Z18"/>
  <c r="P18"/>
  <c r="N18"/>
  <c r="L18"/>
  <c r="P17"/>
  <c r="N17"/>
  <c r="L17"/>
  <c r="R17" s="1"/>
  <c r="V16"/>
  <c r="U16"/>
  <c r="U17" s="1"/>
  <c r="V18" s="1"/>
  <c r="X18" s="1"/>
  <c r="P16"/>
  <c r="P15"/>
  <c r="N15"/>
  <c r="L15"/>
  <c r="P14"/>
  <c r="R14" s="1"/>
  <c r="P13"/>
  <c r="R13" s="1"/>
  <c r="P12"/>
  <c r="N12"/>
  <c r="R12" s="1"/>
  <c r="V11"/>
  <c r="U11" s="1"/>
  <c r="U12" s="1"/>
  <c r="V13" s="1"/>
  <c r="X13" s="1"/>
  <c r="P11"/>
  <c r="N11"/>
  <c r="L11"/>
  <c r="P10"/>
  <c r="N10"/>
  <c r="R10" s="1"/>
  <c r="L10"/>
  <c r="P9"/>
  <c r="N9"/>
  <c r="L9"/>
  <c r="P8"/>
  <c r="R8" s="1"/>
  <c r="P7"/>
  <c r="L7"/>
  <c r="V6"/>
  <c r="U6" s="1"/>
  <c r="U7" s="1"/>
  <c r="V8" s="1"/>
  <c r="X8" s="1"/>
  <c r="P6"/>
  <c r="N6"/>
  <c r="L6"/>
  <c r="P5"/>
  <c r="L5"/>
  <c r="L45" s="1"/>
  <c r="Z3"/>
  <c r="T3"/>
  <c r="Z49" i="79"/>
  <c r="AA48"/>
  <c r="AB48" s="1"/>
  <c r="AB47"/>
  <c r="AC47" s="1"/>
  <c r="AA47"/>
  <c r="J46"/>
  <c r="S45"/>
  <c r="Q45"/>
  <c r="O45"/>
  <c r="M45"/>
  <c r="K45"/>
  <c r="P44"/>
  <c r="N44"/>
  <c r="P43"/>
  <c r="R43" s="1"/>
  <c r="P42"/>
  <c r="N42"/>
  <c r="L42"/>
  <c r="R42" s="1"/>
  <c r="P41"/>
  <c r="N41"/>
  <c r="L41"/>
  <c r="R41" s="1"/>
  <c r="P40"/>
  <c r="N40"/>
  <c r="L40"/>
  <c r="R40" s="1"/>
  <c r="P39"/>
  <c r="R39" s="1"/>
  <c r="P38"/>
  <c r="N38"/>
  <c r="R38" s="1"/>
  <c r="P37"/>
  <c r="R37" s="1"/>
  <c r="P36"/>
  <c r="L36"/>
  <c r="P35"/>
  <c r="N35"/>
  <c r="R35" s="1"/>
  <c r="P34"/>
  <c r="N34"/>
  <c r="L34"/>
  <c r="W33"/>
  <c r="P33"/>
  <c r="N33"/>
  <c r="P32"/>
  <c r="N32"/>
  <c r="L32"/>
  <c r="P31"/>
  <c r="N31"/>
  <c r="L31"/>
  <c r="P30"/>
  <c r="N30"/>
  <c r="R30" s="1"/>
  <c r="AA29"/>
  <c r="AA30" s="1"/>
  <c r="P29"/>
  <c r="R29" s="1"/>
  <c r="AA28"/>
  <c r="P28"/>
  <c r="N28"/>
  <c r="L28"/>
  <c r="P27"/>
  <c r="N27"/>
  <c r="L27"/>
  <c r="R27" s="1"/>
  <c r="P26"/>
  <c r="N26"/>
  <c r="L26"/>
  <c r="P25"/>
  <c r="R25" s="1"/>
  <c r="P24"/>
  <c r="R24" s="1"/>
  <c r="P23"/>
  <c r="N23"/>
  <c r="P22"/>
  <c r="N22"/>
  <c r="P21"/>
  <c r="N21"/>
  <c r="W20"/>
  <c r="V21" s="1"/>
  <c r="U21" s="1"/>
  <c r="U22" s="1"/>
  <c r="V23" s="1"/>
  <c r="X23" s="1"/>
  <c r="V20"/>
  <c r="P20"/>
  <c r="N20"/>
  <c r="L20"/>
  <c r="Z19"/>
  <c r="Z20" s="1"/>
  <c r="Z21" s="1"/>
  <c r="Z22" s="1"/>
  <c r="Z23" s="1"/>
  <c r="Z24" s="1"/>
  <c r="Z25" s="1"/>
  <c r="Z26" s="1"/>
  <c r="Z27" s="1"/>
  <c r="P19"/>
  <c r="N19"/>
  <c r="L19"/>
  <c r="R19" s="1"/>
  <c r="Z18"/>
  <c r="P18"/>
  <c r="N18"/>
  <c r="L18"/>
  <c r="P17"/>
  <c r="N17"/>
  <c r="L17"/>
  <c r="R17" s="1"/>
  <c r="V16"/>
  <c r="U16"/>
  <c r="U17" s="1"/>
  <c r="V18" s="1"/>
  <c r="X18" s="1"/>
  <c r="P16"/>
  <c r="N16"/>
  <c r="P15"/>
  <c r="N15"/>
  <c r="L15"/>
  <c r="P14"/>
  <c r="R14" s="1"/>
  <c r="P13"/>
  <c r="R13" s="1"/>
  <c r="P12"/>
  <c r="N12"/>
  <c r="V11"/>
  <c r="U11" s="1"/>
  <c r="U12" s="1"/>
  <c r="V13" s="1"/>
  <c r="X13" s="1"/>
  <c r="P11"/>
  <c r="N11"/>
  <c r="L11"/>
  <c r="P10"/>
  <c r="N10"/>
  <c r="R10" s="1"/>
  <c r="L10"/>
  <c r="P9"/>
  <c r="N9"/>
  <c r="L9"/>
  <c r="P8"/>
  <c r="R8" s="1"/>
  <c r="P7"/>
  <c r="L7"/>
  <c r="V6"/>
  <c r="U6" s="1"/>
  <c r="U7" s="1"/>
  <c r="V8" s="1"/>
  <c r="X8" s="1"/>
  <c r="P6"/>
  <c r="N6"/>
  <c r="N45" s="1"/>
  <c r="L6"/>
  <c r="P5"/>
  <c r="L5"/>
  <c r="L45" s="1"/>
  <c r="Z3"/>
  <c r="T3"/>
  <c r="Z49" i="78"/>
  <c r="AB48"/>
  <c r="AA48"/>
  <c r="AA49" s="1"/>
  <c r="AA47"/>
  <c r="AB47" s="1"/>
  <c r="AC47" s="1"/>
  <c r="J46"/>
  <c r="S45"/>
  <c r="Q45"/>
  <c r="O45"/>
  <c r="M45"/>
  <c r="K45"/>
  <c r="P44"/>
  <c r="N44"/>
  <c r="P43"/>
  <c r="R43" s="1"/>
  <c r="P42"/>
  <c r="N42"/>
  <c r="L42"/>
  <c r="R42" s="1"/>
  <c r="P41"/>
  <c r="N41"/>
  <c r="L41"/>
  <c r="R41" s="1"/>
  <c r="P40"/>
  <c r="N40"/>
  <c r="L40"/>
  <c r="R40" s="1"/>
  <c r="P39"/>
  <c r="R39" s="1"/>
  <c r="P38"/>
  <c r="N38"/>
  <c r="R37"/>
  <c r="P37"/>
  <c r="P36"/>
  <c r="L36"/>
  <c r="P35"/>
  <c r="N35"/>
  <c r="P34"/>
  <c r="N34"/>
  <c r="L34"/>
  <c r="W33"/>
  <c r="P33"/>
  <c r="N33"/>
  <c r="P32"/>
  <c r="N32"/>
  <c r="L32"/>
  <c r="P31"/>
  <c r="N31"/>
  <c r="R31" s="1"/>
  <c r="L31"/>
  <c r="P30"/>
  <c r="N30"/>
  <c r="AA29"/>
  <c r="AA30" s="1"/>
  <c r="P29"/>
  <c r="R29" s="1"/>
  <c r="AA28"/>
  <c r="P28"/>
  <c r="N28"/>
  <c r="L28"/>
  <c r="P27"/>
  <c r="N27"/>
  <c r="L27"/>
  <c r="R27" s="1"/>
  <c r="P26"/>
  <c r="N26"/>
  <c r="R26" s="1"/>
  <c r="L26"/>
  <c r="P25"/>
  <c r="R25" s="1"/>
  <c r="P24"/>
  <c r="R24" s="1"/>
  <c r="P23"/>
  <c r="N23"/>
  <c r="P22"/>
  <c r="N22"/>
  <c r="R22" s="1"/>
  <c r="P21"/>
  <c r="N21"/>
  <c r="R21" s="1"/>
  <c r="W20"/>
  <c r="V21" s="1"/>
  <c r="U21" s="1"/>
  <c r="U22" s="1"/>
  <c r="V23" s="1"/>
  <c r="X23" s="1"/>
  <c r="V20"/>
  <c r="P20"/>
  <c r="N20"/>
  <c r="L20"/>
  <c r="Z19"/>
  <c r="Z20" s="1"/>
  <c r="Z21" s="1"/>
  <c r="Z22" s="1"/>
  <c r="Z23" s="1"/>
  <c r="Z24" s="1"/>
  <c r="Z25" s="1"/>
  <c r="Z26" s="1"/>
  <c r="Z27" s="1"/>
  <c r="P19"/>
  <c r="N19"/>
  <c r="L19"/>
  <c r="R19" s="1"/>
  <c r="Z18"/>
  <c r="P18"/>
  <c r="N18"/>
  <c r="L18"/>
  <c r="P17"/>
  <c r="N17"/>
  <c r="L17"/>
  <c r="R17" s="1"/>
  <c r="V16"/>
  <c r="U16"/>
  <c r="U17" s="1"/>
  <c r="V18" s="1"/>
  <c r="X18" s="1"/>
  <c r="P16"/>
  <c r="N16"/>
  <c r="R16" s="1"/>
  <c r="P15"/>
  <c r="N15"/>
  <c r="L15"/>
  <c r="R14"/>
  <c r="P14"/>
  <c r="P13"/>
  <c r="R13" s="1"/>
  <c r="P12"/>
  <c r="N12"/>
  <c r="V11"/>
  <c r="U11" s="1"/>
  <c r="U12" s="1"/>
  <c r="V13" s="1"/>
  <c r="X13" s="1"/>
  <c r="P11"/>
  <c r="N11"/>
  <c r="R11" s="1"/>
  <c r="L11"/>
  <c r="P10"/>
  <c r="N10"/>
  <c r="L10"/>
  <c r="P9"/>
  <c r="N9"/>
  <c r="L9"/>
  <c r="P8"/>
  <c r="R8" s="1"/>
  <c r="P7"/>
  <c r="L7"/>
  <c r="V6"/>
  <c r="U6" s="1"/>
  <c r="U7" s="1"/>
  <c r="V8" s="1"/>
  <c r="X8" s="1"/>
  <c r="P6"/>
  <c r="N6"/>
  <c r="N45" s="1"/>
  <c r="L6"/>
  <c r="P5"/>
  <c r="L5"/>
  <c r="L45" s="1"/>
  <c r="Z3"/>
  <c r="T3"/>
  <c r="W33" i="77"/>
  <c r="R44" i="86" l="1"/>
  <c r="R43"/>
  <c r="R45" s="1"/>
  <c r="R44" i="85"/>
  <c r="R43"/>
  <c r="R45" i="84"/>
  <c r="R47" s="1"/>
  <c r="R45" i="83"/>
  <c r="R47" s="1"/>
  <c r="R46" i="82"/>
  <c r="R45"/>
  <c r="R47" s="1"/>
  <c r="AA30" i="81"/>
  <c r="L45"/>
  <c r="R31"/>
  <c r="R34"/>
  <c r="R15"/>
  <c r="P45"/>
  <c r="R9"/>
  <c r="N45"/>
  <c r="R20"/>
  <c r="R26"/>
  <c r="R32"/>
  <c r="R40"/>
  <c r="R42"/>
  <c r="R7"/>
  <c r="R10"/>
  <c r="R12"/>
  <c r="R19"/>
  <c r="R22"/>
  <c r="R33"/>
  <c r="R44"/>
  <c r="AB49"/>
  <c r="AC49" s="1"/>
  <c r="AC48"/>
  <c r="R5"/>
  <c r="R6"/>
  <c r="V21"/>
  <c r="U21" s="1"/>
  <c r="U22" s="1"/>
  <c r="V23" s="1"/>
  <c r="X23" s="1"/>
  <c r="AA49"/>
  <c r="R34" i="80"/>
  <c r="R33"/>
  <c r="R32"/>
  <c r="R7"/>
  <c r="R27"/>
  <c r="N45"/>
  <c r="P45"/>
  <c r="R9"/>
  <c r="R11"/>
  <c r="R15"/>
  <c r="R16"/>
  <c r="R18"/>
  <c r="R20"/>
  <c r="R21"/>
  <c r="R22"/>
  <c r="R23"/>
  <c r="R26"/>
  <c r="R28"/>
  <c r="R31"/>
  <c r="R44"/>
  <c r="AB49"/>
  <c r="AC49" s="1"/>
  <c r="AC48"/>
  <c r="R5"/>
  <c r="R6"/>
  <c r="AA49"/>
  <c r="R36" i="79"/>
  <c r="R34"/>
  <c r="R33"/>
  <c r="R32"/>
  <c r="R12"/>
  <c r="R7"/>
  <c r="P45"/>
  <c r="R9"/>
  <c r="R11"/>
  <c r="R46" s="1"/>
  <c r="R15"/>
  <c r="R16"/>
  <c r="R18"/>
  <c r="R20"/>
  <c r="R21"/>
  <c r="R22"/>
  <c r="R23"/>
  <c r="R26"/>
  <c r="R28"/>
  <c r="R31"/>
  <c r="R44"/>
  <c r="AB49"/>
  <c r="AC49" s="1"/>
  <c r="AC48"/>
  <c r="R5"/>
  <c r="R6"/>
  <c r="AA49"/>
  <c r="R28" i="78"/>
  <c r="R23"/>
  <c r="R20"/>
  <c r="R18"/>
  <c r="R15"/>
  <c r="R9"/>
  <c r="P45"/>
  <c r="R7"/>
  <c r="R10"/>
  <c r="R12"/>
  <c r="R30"/>
  <c r="R32"/>
  <c r="R33"/>
  <c r="R34"/>
  <c r="R35"/>
  <c r="R36"/>
  <c r="R38"/>
  <c r="R44"/>
  <c r="R46" s="1"/>
  <c r="AB49"/>
  <c r="AC49" s="1"/>
  <c r="R5"/>
  <c r="R6"/>
  <c r="AC48"/>
  <c r="P39" i="77"/>
  <c r="R39" s="1"/>
  <c r="L28"/>
  <c r="N28"/>
  <c r="P28"/>
  <c r="R28" s="1"/>
  <c r="N12"/>
  <c r="P12"/>
  <c r="R12" s="1"/>
  <c r="Z49"/>
  <c r="AA48"/>
  <c r="AB48" s="1"/>
  <c r="AA47"/>
  <c r="AB47" s="1"/>
  <c r="AC47" s="1"/>
  <c r="J46"/>
  <c r="S45"/>
  <c r="Q45"/>
  <c r="O45"/>
  <c r="M45"/>
  <c r="K45"/>
  <c r="P44"/>
  <c r="N44"/>
  <c r="P43"/>
  <c r="R43" s="1"/>
  <c r="P42"/>
  <c r="N42"/>
  <c r="L42"/>
  <c r="P41"/>
  <c r="N41"/>
  <c r="L41"/>
  <c r="R41" s="1"/>
  <c r="P40"/>
  <c r="N40"/>
  <c r="L40"/>
  <c r="P38"/>
  <c r="N38"/>
  <c r="R38" s="1"/>
  <c r="P37"/>
  <c r="R37" s="1"/>
  <c r="P36"/>
  <c r="L36"/>
  <c r="R36" s="1"/>
  <c r="P35"/>
  <c r="N35"/>
  <c r="R35" s="1"/>
  <c r="P34"/>
  <c r="N34"/>
  <c r="R34" s="1"/>
  <c r="L34"/>
  <c r="P33"/>
  <c r="N33"/>
  <c r="P32"/>
  <c r="N32"/>
  <c r="L32"/>
  <c r="R32" s="1"/>
  <c r="P31"/>
  <c r="N31"/>
  <c r="L31"/>
  <c r="P30"/>
  <c r="N30"/>
  <c r="AA29"/>
  <c r="AA30" s="1"/>
  <c r="P29"/>
  <c r="R29" s="1"/>
  <c r="AA28"/>
  <c r="P27"/>
  <c r="N27"/>
  <c r="L27"/>
  <c r="P26"/>
  <c r="N26"/>
  <c r="L26"/>
  <c r="R26" s="1"/>
  <c r="P25"/>
  <c r="R25" s="1"/>
  <c r="P24"/>
  <c r="R24" s="1"/>
  <c r="P23"/>
  <c r="N23"/>
  <c r="P22"/>
  <c r="N22"/>
  <c r="P21"/>
  <c r="N21"/>
  <c r="V20"/>
  <c r="P20"/>
  <c r="N20"/>
  <c r="L20"/>
  <c r="P19"/>
  <c r="N19"/>
  <c r="L19"/>
  <c r="Z18"/>
  <c r="Z19" s="1"/>
  <c r="Z20" s="1"/>
  <c r="Z21" s="1"/>
  <c r="Z22" s="1"/>
  <c r="Z23" s="1"/>
  <c r="Z24" s="1"/>
  <c r="Z25" s="1"/>
  <c r="Z26" s="1"/>
  <c r="Z27" s="1"/>
  <c r="P18"/>
  <c r="N18"/>
  <c r="L18"/>
  <c r="R18" s="1"/>
  <c r="P17"/>
  <c r="N17"/>
  <c r="L17"/>
  <c r="V16"/>
  <c r="U16" s="1"/>
  <c r="U17" s="1"/>
  <c r="V18" s="1"/>
  <c r="X18" s="1"/>
  <c r="P16"/>
  <c r="N16"/>
  <c r="R16" s="1"/>
  <c r="P15"/>
  <c r="N15"/>
  <c r="L15"/>
  <c r="P14"/>
  <c r="R14" s="1"/>
  <c r="P13"/>
  <c r="R13" s="1"/>
  <c r="V11"/>
  <c r="U11"/>
  <c r="U12" s="1"/>
  <c r="V13" s="1"/>
  <c r="X13" s="1"/>
  <c r="P11"/>
  <c r="N11"/>
  <c r="L11"/>
  <c r="R11" s="1"/>
  <c r="P10"/>
  <c r="N10"/>
  <c r="L10"/>
  <c r="P9"/>
  <c r="N9"/>
  <c r="L9"/>
  <c r="R9" s="1"/>
  <c r="P8"/>
  <c r="R8" s="1"/>
  <c r="R46" s="1"/>
  <c r="P7"/>
  <c r="L7"/>
  <c r="V6"/>
  <c r="U6"/>
  <c r="U7" s="1"/>
  <c r="V8" s="1"/>
  <c r="X8" s="1"/>
  <c r="P6"/>
  <c r="N6"/>
  <c r="L6"/>
  <c r="R6" s="1"/>
  <c r="P5"/>
  <c r="L5"/>
  <c r="R5" s="1"/>
  <c r="Z3"/>
  <c r="T3"/>
  <c r="N38" i="76"/>
  <c r="N35"/>
  <c r="N33"/>
  <c r="N32"/>
  <c r="N27"/>
  <c r="N21"/>
  <c r="N16"/>
  <c r="R8"/>
  <c r="P8"/>
  <c r="Z49"/>
  <c r="AA48"/>
  <c r="AB48" s="1"/>
  <c r="AA47"/>
  <c r="AB47" s="1"/>
  <c r="AC47" s="1"/>
  <c r="J46"/>
  <c r="S45"/>
  <c r="Q45"/>
  <c r="O45"/>
  <c r="M45"/>
  <c r="K45"/>
  <c r="P44"/>
  <c r="N44"/>
  <c r="P43"/>
  <c r="R43" s="1"/>
  <c r="P42"/>
  <c r="N42"/>
  <c r="L42"/>
  <c r="P41"/>
  <c r="N41"/>
  <c r="L41"/>
  <c r="R41" s="1"/>
  <c r="P40"/>
  <c r="N40"/>
  <c r="L40"/>
  <c r="P39"/>
  <c r="R39" s="1"/>
  <c r="P38"/>
  <c r="P37"/>
  <c r="R37" s="1"/>
  <c r="P36"/>
  <c r="L36"/>
  <c r="P35"/>
  <c r="P34"/>
  <c r="N34"/>
  <c r="L34"/>
  <c r="P33"/>
  <c r="R33" s="1"/>
  <c r="P32"/>
  <c r="L32"/>
  <c r="P31"/>
  <c r="N31"/>
  <c r="L31"/>
  <c r="P30"/>
  <c r="N30"/>
  <c r="AA29"/>
  <c r="P29"/>
  <c r="R29" s="1"/>
  <c r="AA28"/>
  <c r="P28"/>
  <c r="N28"/>
  <c r="L28"/>
  <c r="P27"/>
  <c r="L27"/>
  <c r="R27" s="1"/>
  <c r="P26"/>
  <c r="N26"/>
  <c r="L26"/>
  <c r="P25"/>
  <c r="R25" s="1"/>
  <c r="P24"/>
  <c r="R24" s="1"/>
  <c r="P23"/>
  <c r="N23"/>
  <c r="P22"/>
  <c r="N22"/>
  <c r="P21"/>
  <c r="R21" s="1"/>
  <c r="V20"/>
  <c r="W20" s="1"/>
  <c r="P20"/>
  <c r="N20"/>
  <c r="L20"/>
  <c r="Z18"/>
  <c r="Z19" s="1"/>
  <c r="Z20" s="1"/>
  <c r="Z21" s="1"/>
  <c r="Z22" s="1"/>
  <c r="Z23" s="1"/>
  <c r="Z24" s="1"/>
  <c r="Z25" s="1"/>
  <c r="Z26" s="1"/>
  <c r="Z27" s="1"/>
  <c r="P19"/>
  <c r="N19"/>
  <c r="L19"/>
  <c r="R19" s="1"/>
  <c r="P18"/>
  <c r="N18"/>
  <c r="R18" s="1"/>
  <c r="L18"/>
  <c r="V16"/>
  <c r="U16" s="1"/>
  <c r="U17" s="1"/>
  <c r="V18" s="1"/>
  <c r="X18" s="1"/>
  <c r="P17"/>
  <c r="N17"/>
  <c r="L17"/>
  <c r="R16"/>
  <c r="P16"/>
  <c r="P15"/>
  <c r="N15"/>
  <c r="L15"/>
  <c r="P14"/>
  <c r="R14" s="1"/>
  <c r="P13"/>
  <c r="R13" s="1"/>
  <c r="V11"/>
  <c r="U11"/>
  <c r="U12" s="1"/>
  <c r="V13" s="1"/>
  <c r="X13" s="1"/>
  <c r="P12"/>
  <c r="N12"/>
  <c r="P11"/>
  <c r="N11"/>
  <c r="L11"/>
  <c r="P10"/>
  <c r="N10"/>
  <c r="L10"/>
  <c r="R10" s="1"/>
  <c r="P9"/>
  <c r="N9"/>
  <c r="L9"/>
  <c r="P7"/>
  <c r="L7"/>
  <c r="V6"/>
  <c r="U6" s="1"/>
  <c r="U7" s="1"/>
  <c r="V8" s="1"/>
  <c r="X8" s="1"/>
  <c r="P6"/>
  <c r="N6"/>
  <c r="L6"/>
  <c r="P5"/>
  <c r="L5"/>
  <c r="Z3"/>
  <c r="T3"/>
  <c r="U7" i="75"/>
  <c r="Z49"/>
  <c r="AA48"/>
  <c r="AB48" s="1"/>
  <c r="AB47"/>
  <c r="AC47" s="1"/>
  <c r="AA47"/>
  <c r="J46"/>
  <c r="S45"/>
  <c r="Q45"/>
  <c r="O45"/>
  <c r="M45"/>
  <c r="K45"/>
  <c r="P44"/>
  <c r="N44"/>
  <c r="P43"/>
  <c r="R43" s="1"/>
  <c r="P42"/>
  <c r="N42"/>
  <c r="L42"/>
  <c r="R42" s="1"/>
  <c r="P41"/>
  <c r="N41"/>
  <c r="L41"/>
  <c r="R41" s="1"/>
  <c r="P40"/>
  <c r="N40"/>
  <c r="L40"/>
  <c r="R40" s="1"/>
  <c r="P39"/>
  <c r="R39" s="1"/>
  <c r="P38"/>
  <c r="N38"/>
  <c r="R38" s="1"/>
  <c r="P37"/>
  <c r="R37" s="1"/>
  <c r="P36"/>
  <c r="L36"/>
  <c r="P35"/>
  <c r="R35" s="1"/>
  <c r="P34"/>
  <c r="N34"/>
  <c r="L34"/>
  <c r="R34" s="1"/>
  <c r="P33"/>
  <c r="R33" s="1"/>
  <c r="P32"/>
  <c r="L32"/>
  <c r="P31"/>
  <c r="N31"/>
  <c r="L31"/>
  <c r="P30"/>
  <c r="N30"/>
  <c r="AA29"/>
  <c r="AA30" s="1"/>
  <c r="P29"/>
  <c r="R29" s="1"/>
  <c r="AA28"/>
  <c r="P28"/>
  <c r="N28"/>
  <c r="L28"/>
  <c r="P27"/>
  <c r="N27"/>
  <c r="L27"/>
  <c r="R27" s="1"/>
  <c r="P26"/>
  <c r="N26"/>
  <c r="L26"/>
  <c r="P25"/>
  <c r="R25" s="1"/>
  <c r="P24"/>
  <c r="R24" s="1"/>
  <c r="P23"/>
  <c r="N23"/>
  <c r="P22"/>
  <c r="N22"/>
  <c r="R21"/>
  <c r="P21"/>
  <c r="V20"/>
  <c r="W20" s="1"/>
  <c r="P20"/>
  <c r="N20"/>
  <c r="L20"/>
  <c r="R20" s="1"/>
  <c r="P19"/>
  <c r="N19"/>
  <c r="L19"/>
  <c r="Z18"/>
  <c r="Z19" s="1"/>
  <c r="Z20" s="1"/>
  <c r="Z21" s="1"/>
  <c r="Z22" s="1"/>
  <c r="Z23" s="1"/>
  <c r="Z24" s="1"/>
  <c r="Z25" s="1"/>
  <c r="Z26" s="1"/>
  <c r="Z27" s="1"/>
  <c r="P18"/>
  <c r="N18"/>
  <c r="L18"/>
  <c r="R18" s="1"/>
  <c r="P17"/>
  <c r="N17"/>
  <c r="R17" s="1"/>
  <c r="L17"/>
  <c r="V16"/>
  <c r="U16" s="1"/>
  <c r="U17" s="1"/>
  <c r="V18" s="1"/>
  <c r="X18" s="1"/>
  <c r="P16"/>
  <c r="N16"/>
  <c r="R16" s="1"/>
  <c r="L16"/>
  <c r="R15"/>
  <c r="P15"/>
  <c r="P14"/>
  <c r="N14"/>
  <c r="L14"/>
  <c r="P13"/>
  <c r="R13" s="1"/>
  <c r="P12"/>
  <c r="R12" s="1"/>
  <c r="V11"/>
  <c r="U11"/>
  <c r="U12" s="1"/>
  <c r="V13" s="1"/>
  <c r="X13" s="1"/>
  <c r="P11"/>
  <c r="N11"/>
  <c r="P10"/>
  <c r="N10"/>
  <c r="L10"/>
  <c r="P9"/>
  <c r="N9"/>
  <c r="R9" s="1"/>
  <c r="L9"/>
  <c r="P8"/>
  <c r="N8"/>
  <c r="L8"/>
  <c r="P7"/>
  <c r="L7"/>
  <c r="R7" s="1"/>
  <c r="V6"/>
  <c r="U6" s="1"/>
  <c r="V8" s="1"/>
  <c r="X8" s="1"/>
  <c r="P6"/>
  <c r="N6"/>
  <c r="N45" s="1"/>
  <c r="L6"/>
  <c r="P5"/>
  <c r="L5"/>
  <c r="L45" s="1"/>
  <c r="Z3"/>
  <c r="T3"/>
  <c r="R44" i="74"/>
  <c r="Z49"/>
  <c r="AB48"/>
  <c r="AA48"/>
  <c r="AA49" s="1"/>
  <c r="AA47"/>
  <c r="AB47" s="1"/>
  <c r="AC47" s="1"/>
  <c r="J46"/>
  <c r="S45"/>
  <c r="Q45"/>
  <c r="O45"/>
  <c r="M45"/>
  <c r="K45"/>
  <c r="P44"/>
  <c r="N44"/>
  <c r="P43"/>
  <c r="R43" s="1"/>
  <c r="P42"/>
  <c r="N42"/>
  <c r="L42"/>
  <c r="P41"/>
  <c r="N41"/>
  <c r="L41"/>
  <c r="R41" s="1"/>
  <c r="P40"/>
  <c r="N40"/>
  <c r="L40"/>
  <c r="R40" s="1"/>
  <c r="P39"/>
  <c r="R39" s="1"/>
  <c r="P38"/>
  <c r="N38"/>
  <c r="R38" s="1"/>
  <c r="P37"/>
  <c r="R37" s="1"/>
  <c r="P36"/>
  <c r="L36"/>
  <c r="P35"/>
  <c r="R35" s="1"/>
  <c r="P34"/>
  <c r="N34"/>
  <c r="L34"/>
  <c r="R34" s="1"/>
  <c r="P33"/>
  <c r="R33" s="1"/>
  <c r="P32"/>
  <c r="L32"/>
  <c r="P31"/>
  <c r="N31"/>
  <c r="L31"/>
  <c r="P30"/>
  <c r="N30"/>
  <c r="AA29"/>
  <c r="AA30" s="1"/>
  <c r="P29"/>
  <c r="R29" s="1"/>
  <c r="AA28"/>
  <c r="P28"/>
  <c r="N28"/>
  <c r="L28"/>
  <c r="P27"/>
  <c r="N27"/>
  <c r="L27"/>
  <c r="R27" s="1"/>
  <c r="P26"/>
  <c r="N26"/>
  <c r="L26"/>
  <c r="P25"/>
  <c r="R25" s="1"/>
  <c r="P24"/>
  <c r="R24" s="1"/>
  <c r="P23"/>
  <c r="N23"/>
  <c r="P22"/>
  <c r="N22"/>
  <c r="R21"/>
  <c r="P21"/>
  <c r="V20"/>
  <c r="P20"/>
  <c r="N20"/>
  <c r="L20"/>
  <c r="R20" s="1"/>
  <c r="P19"/>
  <c r="N19"/>
  <c r="L19"/>
  <c r="Z18"/>
  <c r="Z19" s="1"/>
  <c r="Z20" s="1"/>
  <c r="Z21" s="1"/>
  <c r="Z22" s="1"/>
  <c r="Z23" s="1"/>
  <c r="Z24" s="1"/>
  <c r="Z25" s="1"/>
  <c r="Z26" s="1"/>
  <c r="Z27" s="1"/>
  <c r="P18"/>
  <c r="N18"/>
  <c r="L18"/>
  <c r="R18" s="1"/>
  <c r="P17"/>
  <c r="N17"/>
  <c r="R17" s="1"/>
  <c r="L17"/>
  <c r="V16"/>
  <c r="U16" s="1"/>
  <c r="U17" s="1"/>
  <c r="V18" s="1"/>
  <c r="X18" s="1"/>
  <c r="P16"/>
  <c r="N16"/>
  <c r="R16" s="1"/>
  <c r="L16"/>
  <c r="R15"/>
  <c r="P15"/>
  <c r="P14"/>
  <c r="N14"/>
  <c r="L14"/>
  <c r="P13"/>
  <c r="R13" s="1"/>
  <c r="P12"/>
  <c r="R12" s="1"/>
  <c r="V11"/>
  <c r="U11"/>
  <c r="U12" s="1"/>
  <c r="V13" s="1"/>
  <c r="X13" s="1"/>
  <c r="P11"/>
  <c r="N11"/>
  <c r="P10"/>
  <c r="N10"/>
  <c r="L10"/>
  <c r="P9"/>
  <c r="N9"/>
  <c r="R9" s="1"/>
  <c r="L9"/>
  <c r="P8"/>
  <c r="N8"/>
  <c r="L8"/>
  <c r="P7"/>
  <c r="L7"/>
  <c r="V6"/>
  <c r="U6" s="1"/>
  <c r="U7" s="1"/>
  <c r="V8" s="1"/>
  <c r="X8" s="1"/>
  <c r="P6"/>
  <c r="N6"/>
  <c r="N45" s="1"/>
  <c r="L6"/>
  <c r="P5"/>
  <c r="L5"/>
  <c r="Z3"/>
  <c r="T3"/>
  <c r="U41" i="73"/>
  <c r="R24"/>
  <c r="R46"/>
  <c r="R45" i="85" l="1"/>
  <c r="R46" i="81"/>
  <c r="R45"/>
  <c r="R47" s="1"/>
  <c r="R45" i="80"/>
  <c r="R46"/>
  <c r="R45" i="79"/>
  <c r="R47" s="1"/>
  <c r="R45" i="78"/>
  <c r="R47" s="1"/>
  <c r="R17" i="77"/>
  <c r="R27"/>
  <c r="R44"/>
  <c r="P45"/>
  <c r="R7"/>
  <c r="R19"/>
  <c r="R21"/>
  <c r="R22"/>
  <c r="R23"/>
  <c r="R30"/>
  <c r="R33"/>
  <c r="N45"/>
  <c r="R10"/>
  <c r="R15"/>
  <c r="R20"/>
  <c r="R31"/>
  <c r="R40"/>
  <c r="R42"/>
  <c r="R45" s="1"/>
  <c r="R47" s="1"/>
  <c r="AB49"/>
  <c r="AC49" s="1"/>
  <c r="AC48"/>
  <c r="L45"/>
  <c r="AA49"/>
  <c r="W20"/>
  <c r="V21" s="1"/>
  <c r="U21" s="1"/>
  <c r="U22" s="1"/>
  <c r="V23" s="1"/>
  <c r="X23" s="1"/>
  <c r="R17" i="76"/>
  <c r="R35"/>
  <c r="N45"/>
  <c r="AA30"/>
  <c r="L45"/>
  <c r="R7"/>
  <c r="R9"/>
  <c r="R11"/>
  <c r="R30"/>
  <c r="R31"/>
  <c r="R34"/>
  <c r="R36"/>
  <c r="R40"/>
  <c r="R42"/>
  <c r="AA49"/>
  <c r="P45"/>
  <c r="R12"/>
  <c r="R15"/>
  <c r="R20"/>
  <c r="R22"/>
  <c r="R23"/>
  <c r="R26"/>
  <c r="R28"/>
  <c r="R46" s="1"/>
  <c r="R32"/>
  <c r="R38"/>
  <c r="R44"/>
  <c r="AB49"/>
  <c r="AC49" s="1"/>
  <c r="R5"/>
  <c r="R6"/>
  <c r="V21"/>
  <c r="U21" s="1"/>
  <c r="U22" s="1"/>
  <c r="V23" s="1"/>
  <c r="X23" s="1"/>
  <c r="AC48"/>
  <c r="R36" i="75"/>
  <c r="R30"/>
  <c r="P45"/>
  <c r="R8"/>
  <c r="R10"/>
  <c r="R11"/>
  <c r="R14"/>
  <c r="R19"/>
  <c r="R22"/>
  <c r="R23"/>
  <c r="R26"/>
  <c r="R28"/>
  <c r="R31"/>
  <c r="R32"/>
  <c r="R44"/>
  <c r="AB49"/>
  <c r="AC49" s="1"/>
  <c r="AC48"/>
  <c r="R5"/>
  <c r="R6"/>
  <c r="V21"/>
  <c r="U21" s="1"/>
  <c r="U22" s="1"/>
  <c r="V23" s="1"/>
  <c r="X23" s="1"/>
  <c r="AA49"/>
  <c r="R30" i="74"/>
  <c r="R7"/>
  <c r="R36"/>
  <c r="R5"/>
  <c r="P45"/>
  <c r="R8"/>
  <c r="R10"/>
  <c r="R11"/>
  <c r="R14"/>
  <c r="R19"/>
  <c r="R22"/>
  <c r="R23"/>
  <c r="R26"/>
  <c r="R28"/>
  <c r="R31"/>
  <c r="R32"/>
  <c r="R42"/>
  <c r="AB49"/>
  <c r="AC49" s="1"/>
  <c r="R6"/>
  <c r="W20"/>
  <c r="V21" s="1"/>
  <c r="U21" s="1"/>
  <c r="U22" s="1"/>
  <c r="V23" s="1"/>
  <c r="X23" s="1"/>
  <c r="L45"/>
  <c r="AC48"/>
  <c r="Z49" i="73"/>
  <c r="AB48"/>
  <c r="AA48"/>
  <c r="AA49" s="1"/>
  <c r="AA47"/>
  <c r="AB47" s="1"/>
  <c r="AC47" s="1"/>
  <c r="J46"/>
  <c r="S45"/>
  <c r="Q45"/>
  <c r="O45"/>
  <c r="M45"/>
  <c r="K45"/>
  <c r="P44"/>
  <c r="N44"/>
  <c r="P43"/>
  <c r="R43" s="1"/>
  <c r="P42"/>
  <c r="N42"/>
  <c r="L42"/>
  <c r="R42" s="1"/>
  <c r="P41"/>
  <c r="N41"/>
  <c r="L41"/>
  <c r="P40"/>
  <c r="N40"/>
  <c r="L40"/>
  <c r="R40" s="1"/>
  <c r="P39"/>
  <c r="R39" s="1"/>
  <c r="P38"/>
  <c r="N38"/>
  <c r="P37"/>
  <c r="R37" s="1"/>
  <c r="P36"/>
  <c r="L36"/>
  <c r="R36" s="1"/>
  <c r="P35"/>
  <c r="R35" s="1"/>
  <c r="P34"/>
  <c r="N34"/>
  <c r="L34"/>
  <c r="P33"/>
  <c r="R33" s="1"/>
  <c r="P32"/>
  <c r="L32"/>
  <c r="P31"/>
  <c r="N31"/>
  <c r="L31"/>
  <c r="R31" s="1"/>
  <c r="P30"/>
  <c r="N30"/>
  <c r="R30" s="1"/>
  <c r="AA29"/>
  <c r="AA30" s="1"/>
  <c r="P29"/>
  <c r="R29" s="1"/>
  <c r="AA28"/>
  <c r="P28"/>
  <c r="N28"/>
  <c r="L28"/>
  <c r="R28" s="1"/>
  <c r="P27"/>
  <c r="N27"/>
  <c r="L27"/>
  <c r="P26"/>
  <c r="N26"/>
  <c r="L26"/>
  <c r="R26" s="1"/>
  <c r="P25"/>
  <c r="R25" s="1"/>
  <c r="P24"/>
  <c r="P23"/>
  <c r="N23"/>
  <c r="P22"/>
  <c r="N22"/>
  <c r="P21"/>
  <c r="R21" s="1"/>
  <c r="W20"/>
  <c r="V20"/>
  <c r="V21" s="1"/>
  <c r="U21" s="1"/>
  <c r="U22" s="1"/>
  <c r="V23" s="1"/>
  <c r="X23" s="1"/>
  <c r="P20"/>
  <c r="N20"/>
  <c r="R20" s="1"/>
  <c r="L20"/>
  <c r="Z19"/>
  <c r="Z20" s="1"/>
  <c r="Z21" s="1"/>
  <c r="Z22" s="1"/>
  <c r="Z23" s="1"/>
  <c r="Z24" s="1"/>
  <c r="Z25" s="1"/>
  <c r="Z26" s="1"/>
  <c r="Z27" s="1"/>
  <c r="P19"/>
  <c r="N19"/>
  <c r="L19"/>
  <c r="Z18"/>
  <c r="P18"/>
  <c r="N18"/>
  <c r="R18" s="1"/>
  <c r="L18"/>
  <c r="P17"/>
  <c r="N17"/>
  <c r="L17"/>
  <c r="R17" s="1"/>
  <c r="V16"/>
  <c r="U16"/>
  <c r="U17" s="1"/>
  <c r="V18" s="1"/>
  <c r="X18" s="1"/>
  <c r="P16"/>
  <c r="N16"/>
  <c r="L16"/>
  <c r="P15"/>
  <c r="R15" s="1"/>
  <c r="P14"/>
  <c r="N14"/>
  <c r="L14"/>
  <c r="P13"/>
  <c r="R13" s="1"/>
  <c r="P12"/>
  <c r="R12" s="1"/>
  <c r="V11"/>
  <c r="U11" s="1"/>
  <c r="U12" s="1"/>
  <c r="V13" s="1"/>
  <c r="X13" s="1"/>
  <c r="P11"/>
  <c r="N11"/>
  <c r="P10"/>
  <c r="N10"/>
  <c r="L10"/>
  <c r="R10" s="1"/>
  <c r="P9"/>
  <c r="N9"/>
  <c r="L9"/>
  <c r="P8"/>
  <c r="N8"/>
  <c r="L8"/>
  <c r="R8" s="1"/>
  <c r="P7"/>
  <c r="L7"/>
  <c r="V6"/>
  <c r="U6"/>
  <c r="U7" s="1"/>
  <c r="V8" s="1"/>
  <c r="X8" s="1"/>
  <c r="P6"/>
  <c r="N6"/>
  <c r="N45" s="1"/>
  <c r="L6"/>
  <c r="P5"/>
  <c r="L5"/>
  <c r="L45" s="1"/>
  <c r="Z3"/>
  <c r="T3"/>
  <c r="V20" i="72"/>
  <c r="W20" s="1"/>
  <c r="V11"/>
  <c r="U11" s="1"/>
  <c r="U12" s="1"/>
  <c r="V13" s="1"/>
  <c r="X13" s="1"/>
  <c r="U7"/>
  <c r="U6"/>
  <c r="V6"/>
  <c r="N44"/>
  <c r="N38"/>
  <c r="N23"/>
  <c r="N20"/>
  <c r="Z49"/>
  <c r="AB48"/>
  <c r="AA48"/>
  <c r="AA49" s="1"/>
  <c r="AA47"/>
  <c r="AB47" s="1"/>
  <c r="AC47" s="1"/>
  <c r="J46"/>
  <c r="S45"/>
  <c r="Q45"/>
  <c r="O45"/>
  <c r="M45"/>
  <c r="K45"/>
  <c r="P44"/>
  <c r="R44"/>
  <c r="P43"/>
  <c r="R43" s="1"/>
  <c r="P42"/>
  <c r="N42"/>
  <c r="L42"/>
  <c r="R42" s="1"/>
  <c r="P41"/>
  <c r="N41"/>
  <c r="L41"/>
  <c r="R41" s="1"/>
  <c r="P40"/>
  <c r="N40"/>
  <c r="L40"/>
  <c r="R40" s="1"/>
  <c r="P39"/>
  <c r="R39" s="1"/>
  <c r="P38"/>
  <c r="R38" s="1"/>
  <c r="P37"/>
  <c r="R37" s="1"/>
  <c r="P36"/>
  <c r="L36"/>
  <c r="P35"/>
  <c r="R35" s="1"/>
  <c r="P34"/>
  <c r="N34"/>
  <c r="L34"/>
  <c r="P33"/>
  <c r="R33" s="1"/>
  <c r="P32"/>
  <c r="L32"/>
  <c r="P31"/>
  <c r="N31"/>
  <c r="L31"/>
  <c r="R31" s="1"/>
  <c r="P30"/>
  <c r="N30"/>
  <c r="AA29"/>
  <c r="P29"/>
  <c r="R29" s="1"/>
  <c r="AA28"/>
  <c r="P28"/>
  <c r="N28"/>
  <c r="L28"/>
  <c r="P27"/>
  <c r="N27"/>
  <c r="L27"/>
  <c r="P26"/>
  <c r="N26"/>
  <c r="L26"/>
  <c r="R26" s="1"/>
  <c r="P25"/>
  <c r="R25" s="1"/>
  <c r="P24"/>
  <c r="R24" s="1"/>
  <c r="R23"/>
  <c r="P23"/>
  <c r="P22"/>
  <c r="N22"/>
  <c r="R22" s="1"/>
  <c r="P21"/>
  <c r="R21" s="1"/>
  <c r="P20"/>
  <c r="L20"/>
  <c r="R20" s="1"/>
  <c r="P19"/>
  <c r="N19"/>
  <c r="L19"/>
  <c r="R19" s="1"/>
  <c r="Z18"/>
  <c r="Z19" s="1"/>
  <c r="Z20" s="1"/>
  <c r="Z21" s="1"/>
  <c r="Z22" s="1"/>
  <c r="Z23" s="1"/>
  <c r="Z24" s="1"/>
  <c r="Z25" s="1"/>
  <c r="Z26" s="1"/>
  <c r="Z27" s="1"/>
  <c r="P18"/>
  <c r="N18"/>
  <c r="L18"/>
  <c r="P17"/>
  <c r="N17"/>
  <c r="L17"/>
  <c r="R17" s="1"/>
  <c r="P16"/>
  <c r="N16"/>
  <c r="L16"/>
  <c r="R16" s="1"/>
  <c r="P15"/>
  <c r="R15" s="1"/>
  <c r="P14"/>
  <c r="N14"/>
  <c r="L14"/>
  <c r="R14" s="1"/>
  <c r="P13"/>
  <c r="R13" s="1"/>
  <c r="P12"/>
  <c r="R12" s="1"/>
  <c r="P11"/>
  <c r="N11"/>
  <c r="P10"/>
  <c r="N10"/>
  <c r="L10"/>
  <c r="R10" s="1"/>
  <c r="P9"/>
  <c r="N9"/>
  <c r="L9"/>
  <c r="R9" s="1"/>
  <c r="P8"/>
  <c r="N8"/>
  <c r="L8"/>
  <c r="R8" s="1"/>
  <c r="V8"/>
  <c r="X8" s="1"/>
  <c r="P7"/>
  <c r="L7"/>
  <c r="R7" s="1"/>
  <c r="P6"/>
  <c r="N6"/>
  <c r="N45" s="1"/>
  <c r="L6"/>
  <c r="R6" s="1"/>
  <c r="P5"/>
  <c r="L5"/>
  <c r="L45" s="1"/>
  <c r="Z3"/>
  <c r="T3"/>
  <c r="U44" i="71"/>
  <c r="Z49"/>
  <c r="AA48"/>
  <c r="AB48" s="1"/>
  <c r="AB47"/>
  <c r="AC47" s="1"/>
  <c r="AA47"/>
  <c r="J46"/>
  <c r="S45"/>
  <c r="Q45"/>
  <c r="O45"/>
  <c r="M45"/>
  <c r="K45"/>
  <c r="P44"/>
  <c r="N44"/>
  <c r="P43"/>
  <c r="R43" s="1"/>
  <c r="P42"/>
  <c r="N42"/>
  <c r="L42"/>
  <c r="R42" s="1"/>
  <c r="P41"/>
  <c r="N41"/>
  <c r="L41"/>
  <c r="R41" s="1"/>
  <c r="P40"/>
  <c r="N40"/>
  <c r="L40"/>
  <c r="R40" s="1"/>
  <c r="P39"/>
  <c r="R39" s="1"/>
  <c r="P38"/>
  <c r="R38" s="1"/>
  <c r="P37"/>
  <c r="R37" s="1"/>
  <c r="P36"/>
  <c r="L36"/>
  <c r="P35"/>
  <c r="R35" s="1"/>
  <c r="P34"/>
  <c r="N34"/>
  <c r="L34"/>
  <c r="P33"/>
  <c r="R33" s="1"/>
  <c r="U32"/>
  <c r="V33" s="1"/>
  <c r="X33" s="1"/>
  <c r="P32"/>
  <c r="L32"/>
  <c r="W31"/>
  <c r="V31"/>
  <c r="P31"/>
  <c r="N31"/>
  <c r="R31" s="1"/>
  <c r="L31"/>
  <c r="P30"/>
  <c r="N30"/>
  <c r="AA29"/>
  <c r="AA30" s="1"/>
  <c r="P29"/>
  <c r="R29" s="1"/>
  <c r="AA28"/>
  <c r="P28"/>
  <c r="N28"/>
  <c r="R28" s="1"/>
  <c r="L28"/>
  <c r="U27"/>
  <c r="V28" s="1"/>
  <c r="X28" s="1"/>
  <c r="P27"/>
  <c r="N27"/>
  <c r="R27" s="1"/>
  <c r="L27"/>
  <c r="V26"/>
  <c r="W26" s="1"/>
  <c r="P26"/>
  <c r="N26"/>
  <c r="L26"/>
  <c r="R26" s="1"/>
  <c r="P25"/>
  <c r="R25" s="1"/>
  <c r="P24"/>
  <c r="R24" s="1"/>
  <c r="P23"/>
  <c r="R23" s="1"/>
  <c r="U22"/>
  <c r="V23" s="1"/>
  <c r="X23" s="1"/>
  <c r="P22"/>
  <c r="N22"/>
  <c r="W21"/>
  <c r="V21"/>
  <c r="P21"/>
  <c r="R21" s="1"/>
  <c r="P20"/>
  <c r="L20"/>
  <c r="Z19"/>
  <c r="Z20" s="1"/>
  <c r="Z21" s="1"/>
  <c r="Z22" s="1"/>
  <c r="Z23" s="1"/>
  <c r="Z24" s="1"/>
  <c r="Z25" s="1"/>
  <c r="Z26" s="1"/>
  <c r="Z27" s="1"/>
  <c r="P19"/>
  <c r="N19"/>
  <c r="L19"/>
  <c r="R19" s="1"/>
  <c r="Z18"/>
  <c r="P18"/>
  <c r="N18"/>
  <c r="L18"/>
  <c r="U17"/>
  <c r="V18" s="1"/>
  <c r="X18" s="1"/>
  <c r="P17"/>
  <c r="N17"/>
  <c r="L17"/>
  <c r="R17" s="1"/>
  <c r="V16"/>
  <c r="W16" s="1"/>
  <c r="P16"/>
  <c r="N16"/>
  <c r="L16"/>
  <c r="R16" s="1"/>
  <c r="P15"/>
  <c r="R15" s="1"/>
  <c r="P14"/>
  <c r="N14"/>
  <c r="L14"/>
  <c r="R14" s="1"/>
  <c r="V13"/>
  <c r="X13" s="1"/>
  <c r="P13"/>
  <c r="R13" s="1"/>
  <c r="U12"/>
  <c r="P12"/>
  <c r="R12" s="1"/>
  <c r="W11"/>
  <c r="V11"/>
  <c r="P11"/>
  <c r="N11"/>
  <c r="P10"/>
  <c r="N10"/>
  <c r="L10"/>
  <c r="R10" s="1"/>
  <c r="P9"/>
  <c r="N9"/>
  <c r="L9"/>
  <c r="R9" s="1"/>
  <c r="V8"/>
  <c r="X8" s="1"/>
  <c r="P8"/>
  <c r="N8"/>
  <c r="L8"/>
  <c r="R8" s="1"/>
  <c r="U7"/>
  <c r="P7"/>
  <c r="L7"/>
  <c r="V6"/>
  <c r="W6" s="1"/>
  <c r="P6"/>
  <c r="N6"/>
  <c r="N45" s="1"/>
  <c r="L6"/>
  <c r="R6" s="1"/>
  <c r="P5"/>
  <c r="L5"/>
  <c r="Z3"/>
  <c r="T3"/>
  <c r="R46" i="70"/>
  <c r="P25"/>
  <c r="R25" s="1"/>
  <c r="Z49"/>
  <c r="AB48"/>
  <c r="AA48"/>
  <c r="AA47"/>
  <c r="AB47" s="1"/>
  <c r="AC47" s="1"/>
  <c r="J46"/>
  <c r="S45"/>
  <c r="Q45"/>
  <c r="O45"/>
  <c r="M45"/>
  <c r="K45"/>
  <c r="P44"/>
  <c r="N44"/>
  <c r="R43"/>
  <c r="P43"/>
  <c r="P42"/>
  <c r="N42"/>
  <c r="L42"/>
  <c r="R42" s="1"/>
  <c r="P41"/>
  <c r="N41"/>
  <c r="L41"/>
  <c r="P40"/>
  <c r="N40"/>
  <c r="L40"/>
  <c r="R40" s="1"/>
  <c r="P39"/>
  <c r="R39" s="1"/>
  <c r="P38"/>
  <c r="R38" s="1"/>
  <c r="P37"/>
  <c r="R37" s="1"/>
  <c r="P36"/>
  <c r="L36"/>
  <c r="P35"/>
  <c r="R35" s="1"/>
  <c r="P34"/>
  <c r="N34"/>
  <c r="L34"/>
  <c r="U32"/>
  <c r="V33" s="1"/>
  <c r="X33" s="1"/>
  <c r="P33"/>
  <c r="R33" s="1"/>
  <c r="V31"/>
  <c r="W31" s="1"/>
  <c r="P32"/>
  <c r="L32"/>
  <c r="P31"/>
  <c r="N31"/>
  <c r="L31"/>
  <c r="AA29"/>
  <c r="P30"/>
  <c r="N30"/>
  <c r="AA28"/>
  <c r="AA30" s="1"/>
  <c r="P29"/>
  <c r="R29" s="1"/>
  <c r="U27"/>
  <c r="V28" s="1"/>
  <c r="X28" s="1"/>
  <c r="P28"/>
  <c r="N28"/>
  <c r="L28"/>
  <c r="V26"/>
  <c r="W26" s="1"/>
  <c r="P27"/>
  <c r="N27"/>
  <c r="L27"/>
  <c r="P26"/>
  <c r="N26"/>
  <c r="L26"/>
  <c r="P24"/>
  <c r="R24" s="1"/>
  <c r="P23"/>
  <c r="R23" s="1"/>
  <c r="U22"/>
  <c r="V23" s="1"/>
  <c r="X23" s="1"/>
  <c r="P22"/>
  <c r="N22"/>
  <c r="W21"/>
  <c r="V21"/>
  <c r="R21"/>
  <c r="P21"/>
  <c r="P20"/>
  <c r="L20"/>
  <c r="P19"/>
  <c r="N19"/>
  <c r="L19"/>
  <c r="Z18"/>
  <c r="Z19" s="1"/>
  <c r="Z20" s="1"/>
  <c r="Z21" s="1"/>
  <c r="Z22" s="1"/>
  <c r="Z23" s="1"/>
  <c r="Z24" s="1"/>
  <c r="Z25" s="1"/>
  <c r="Z26" s="1"/>
  <c r="Z27" s="1"/>
  <c r="P18"/>
  <c r="N18"/>
  <c r="L18"/>
  <c r="U17"/>
  <c r="V18" s="1"/>
  <c r="X18" s="1"/>
  <c r="P17"/>
  <c r="N17"/>
  <c r="L17"/>
  <c r="V16"/>
  <c r="W16" s="1"/>
  <c r="P16"/>
  <c r="N16"/>
  <c r="L16"/>
  <c r="P15"/>
  <c r="R15" s="1"/>
  <c r="P14"/>
  <c r="N14"/>
  <c r="L14"/>
  <c r="P13"/>
  <c r="R13" s="1"/>
  <c r="U12"/>
  <c r="V13" s="1"/>
  <c r="X13" s="1"/>
  <c r="P12"/>
  <c r="R12" s="1"/>
  <c r="W11"/>
  <c r="V11"/>
  <c r="P11"/>
  <c r="N11"/>
  <c r="P10"/>
  <c r="N10"/>
  <c r="L10"/>
  <c r="R10" s="1"/>
  <c r="P9"/>
  <c r="N9"/>
  <c r="L9"/>
  <c r="P8"/>
  <c r="N8"/>
  <c r="L8"/>
  <c r="U7"/>
  <c r="V8" s="1"/>
  <c r="X8" s="1"/>
  <c r="P7"/>
  <c r="L7"/>
  <c r="V6"/>
  <c r="W6" s="1"/>
  <c r="P6"/>
  <c r="N6"/>
  <c r="N45" s="1"/>
  <c r="L6"/>
  <c r="R6" s="1"/>
  <c r="P5"/>
  <c r="P45" s="1"/>
  <c r="L5"/>
  <c r="Z3"/>
  <c r="T3"/>
  <c r="Z49" i="69"/>
  <c r="AB48"/>
  <c r="AA48"/>
  <c r="AA49" s="1"/>
  <c r="AA47"/>
  <c r="AB47" s="1"/>
  <c r="AC47" s="1"/>
  <c r="J45"/>
  <c r="S44"/>
  <c r="Q44"/>
  <c r="O44"/>
  <c r="M44"/>
  <c r="K44"/>
  <c r="P43"/>
  <c r="N43"/>
  <c r="P42"/>
  <c r="R42" s="1"/>
  <c r="P41"/>
  <c r="N41"/>
  <c r="L41"/>
  <c r="P40"/>
  <c r="N40"/>
  <c r="L40"/>
  <c r="R40" s="1"/>
  <c r="P39"/>
  <c r="N39"/>
  <c r="L39"/>
  <c r="R39" s="1"/>
  <c r="P38"/>
  <c r="R38" s="1"/>
  <c r="P37"/>
  <c r="R37" s="1"/>
  <c r="P36"/>
  <c r="R36" s="1"/>
  <c r="P35"/>
  <c r="L35"/>
  <c r="R34"/>
  <c r="P34"/>
  <c r="P33"/>
  <c r="N33"/>
  <c r="L33"/>
  <c r="U32"/>
  <c r="V33" s="1"/>
  <c r="X33" s="1"/>
  <c r="P32"/>
  <c r="R32" s="1"/>
  <c r="V31"/>
  <c r="W31" s="1"/>
  <c r="P31"/>
  <c r="L31"/>
  <c r="P30"/>
  <c r="N30"/>
  <c r="L30"/>
  <c r="R30" s="1"/>
  <c r="AA29"/>
  <c r="P29"/>
  <c r="N29"/>
  <c r="AA28"/>
  <c r="AA30" s="1"/>
  <c r="P28"/>
  <c r="R28" s="1"/>
  <c r="U27"/>
  <c r="V28" s="1"/>
  <c r="X28" s="1"/>
  <c r="P27"/>
  <c r="N27"/>
  <c r="L27"/>
  <c r="V26"/>
  <c r="W26" s="1"/>
  <c r="P26"/>
  <c r="N26"/>
  <c r="L26"/>
  <c r="R26" s="1"/>
  <c r="P25"/>
  <c r="N25"/>
  <c r="L25"/>
  <c r="P24"/>
  <c r="R24" s="1"/>
  <c r="P23"/>
  <c r="R23" s="1"/>
  <c r="U22"/>
  <c r="V23" s="1"/>
  <c r="X23" s="1"/>
  <c r="P22"/>
  <c r="N22"/>
  <c r="V21"/>
  <c r="W21" s="1"/>
  <c r="P21"/>
  <c r="R21" s="1"/>
  <c r="P20"/>
  <c r="L20"/>
  <c r="P19"/>
  <c r="N19"/>
  <c r="L19"/>
  <c r="R19" s="1"/>
  <c r="Z18"/>
  <c r="Z19" s="1"/>
  <c r="Z20" s="1"/>
  <c r="Z21" s="1"/>
  <c r="Z22" s="1"/>
  <c r="Z23" s="1"/>
  <c r="Z24" s="1"/>
  <c r="Z25" s="1"/>
  <c r="Z26" s="1"/>
  <c r="Z27" s="1"/>
  <c r="P18"/>
  <c r="N18"/>
  <c r="L18"/>
  <c r="R18" s="1"/>
  <c r="U17"/>
  <c r="V18" s="1"/>
  <c r="X18" s="1"/>
  <c r="P17"/>
  <c r="N17"/>
  <c r="L17"/>
  <c r="R17" s="1"/>
  <c r="V16"/>
  <c r="W16" s="1"/>
  <c r="P16"/>
  <c r="N16"/>
  <c r="L16"/>
  <c r="R16" s="1"/>
  <c r="P15"/>
  <c r="R15" s="1"/>
  <c r="R45" s="1"/>
  <c r="P14"/>
  <c r="N14"/>
  <c r="L14"/>
  <c r="R14" s="1"/>
  <c r="V13"/>
  <c r="X13" s="1"/>
  <c r="P13"/>
  <c r="R13" s="1"/>
  <c r="U12"/>
  <c r="P12"/>
  <c r="R12" s="1"/>
  <c r="W11"/>
  <c r="V11"/>
  <c r="P11"/>
  <c r="N11"/>
  <c r="P10"/>
  <c r="N10"/>
  <c r="L10"/>
  <c r="R10" s="1"/>
  <c r="P9"/>
  <c r="N9"/>
  <c r="L9"/>
  <c r="R9" s="1"/>
  <c r="V8"/>
  <c r="X8" s="1"/>
  <c r="P8"/>
  <c r="N8"/>
  <c r="L8"/>
  <c r="R8" s="1"/>
  <c r="U7"/>
  <c r="P7"/>
  <c r="L7"/>
  <c r="V6"/>
  <c r="W6" s="1"/>
  <c r="P6"/>
  <c r="N6"/>
  <c r="N44" s="1"/>
  <c r="L6"/>
  <c r="R6" s="1"/>
  <c r="P5"/>
  <c r="L5"/>
  <c r="Z3"/>
  <c r="T3"/>
  <c r="N22" i="68"/>
  <c r="P22"/>
  <c r="R22" s="1"/>
  <c r="Z49"/>
  <c r="AB48"/>
  <c r="AA48"/>
  <c r="AA49" s="1"/>
  <c r="AA47"/>
  <c r="AB47" s="1"/>
  <c r="AC47" s="1"/>
  <c r="J45"/>
  <c r="S44"/>
  <c r="Q44"/>
  <c r="O44"/>
  <c r="M44"/>
  <c r="K44"/>
  <c r="P43"/>
  <c r="N43"/>
  <c r="R42"/>
  <c r="P42"/>
  <c r="P41"/>
  <c r="N41"/>
  <c r="L41"/>
  <c r="R41" s="1"/>
  <c r="P40"/>
  <c r="N40"/>
  <c r="L40"/>
  <c r="R40" s="1"/>
  <c r="P39"/>
  <c r="N39"/>
  <c r="L39"/>
  <c r="R39" s="1"/>
  <c r="P38"/>
  <c r="R38" s="1"/>
  <c r="P37"/>
  <c r="R37" s="1"/>
  <c r="P36"/>
  <c r="R36" s="1"/>
  <c r="P35"/>
  <c r="L35"/>
  <c r="P34"/>
  <c r="R34" s="1"/>
  <c r="P33"/>
  <c r="N33"/>
  <c r="L33"/>
  <c r="U32"/>
  <c r="V33" s="1"/>
  <c r="X33" s="1"/>
  <c r="P32"/>
  <c r="R32" s="1"/>
  <c r="V31"/>
  <c r="W31" s="1"/>
  <c r="P31"/>
  <c r="L31"/>
  <c r="AA30"/>
  <c r="P30"/>
  <c r="N30"/>
  <c r="L30"/>
  <c r="R30" s="1"/>
  <c r="AA29"/>
  <c r="P29"/>
  <c r="N29"/>
  <c r="R29" s="1"/>
  <c r="AA28"/>
  <c r="P28"/>
  <c r="R28" s="1"/>
  <c r="U27"/>
  <c r="V28" s="1"/>
  <c r="X28" s="1"/>
  <c r="P27"/>
  <c r="N27"/>
  <c r="L27"/>
  <c r="V26"/>
  <c r="W26" s="1"/>
  <c r="P26"/>
  <c r="N26"/>
  <c r="L26"/>
  <c r="R26" s="1"/>
  <c r="P25"/>
  <c r="N25"/>
  <c r="L25"/>
  <c r="P24"/>
  <c r="R24" s="1"/>
  <c r="P23"/>
  <c r="R23" s="1"/>
  <c r="U22"/>
  <c r="V23" s="1"/>
  <c r="X23" s="1"/>
  <c r="W21"/>
  <c r="V21"/>
  <c r="P21"/>
  <c r="R21" s="1"/>
  <c r="R45" s="1"/>
  <c r="P20"/>
  <c r="L20"/>
  <c r="Z19"/>
  <c r="Z20" s="1"/>
  <c r="Z21" s="1"/>
  <c r="Z22" s="1"/>
  <c r="Z23" s="1"/>
  <c r="Z24" s="1"/>
  <c r="Z25" s="1"/>
  <c r="Z26" s="1"/>
  <c r="Z27" s="1"/>
  <c r="P19"/>
  <c r="N19"/>
  <c r="L19"/>
  <c r="R19" s="1"/>
  <c r="Z18"/>
  <c r="P18"/>
  <c r="N18"/>
  <c r="L18"/>
  <c r="U17"/>
  <c r="V18" s="1"/>
  <c r="X18" s="1"/>
  <c r="P17"/>
  <c r="N17"/>
  <c r="L17"/>
  <c r="R17" s="1"/>
  <c r="V16"/>
  <c r="W16" s="1"/>
  <c r="P16"/>
  <c r="N16"/>
  <c r="L16"/>
  <c r="R16" s="1"/>
  <c r="P15"/>
  <c r="R15" s="1"/>
  <c r="P14"/>
  <c r="N14"/>
  <c r="L14"/>
  <c r="R14" s="1"/>
  <c r="V13"/>
  <c r="X13" s="1"/>
  <c r="P13"/>
  <c r="R13" s="1"/>
  <c r="U12"/>
  <c r="R12"/>
  <c r="P12"/>
  <c r="W11"/>
  <c r="V11"/>
  <c r="P11"/>
  <c r="N11"/>
  <c r="P10"/>
  <c r="N10"/>
  <c r="L10"/>
  <c r="R10" s="1"/>
  <c r="P9"/>
  <c r="N9"/>
  <c r="L9"/>
  <c r="R9" s="1"/>
  <c r="V8"/>
  <c r="X8" s="1"/>
  <c r="P8"/>
  <c r="N8"/>
  <c r="L8"/>
  <c r="R8" s="1"/>
  <c r="U7"/>
  <c r="P7"/>
  <c r="L7"/>
  <c r="V6"/>
  <c r="W6" s="1"/>
  <c r="P6"/>
  <c r="N6"/>
  <c r="N44" s="1"/>
  <c r="L6"/>
  <c r="R6" s="1"/>
  <c r="P5"/>
  <c r="L5"/>
  <c r="R5" s="1"/>
  <c r="Z3"/>
  <c r="T3"/>
  <c r="Z3" i="67"/>
  <c r="Z49"/>
  <c r="AA48"/>
  <c r="AB48" s="1"/>
  <c r="AB47"/>
  <c r="AC47" s="1"/>
  <c r="AA47"/>
  <c r="J45"/>
  <c r="S44"/>
  <c r="Q44"/>
  <c r="O44"/>
  <c r="M44"/>
  <c r="K44"/>
  <c r="P43"/>
  <c r="N43"/>
  <c r="P42"/>
  <c r="R42" s="1"/>
  <c r="P41"/>
  <c r="N41"/>
  <c r="L41"/>
  <c r="R41" s="1"/>
  <c r="P40"/>
  <c r="N40"/>
  <c r="L40"/>
  <c r="R40" s="1"/>
  <c r="P39"/>
  <c r="N39"/>
  <c r="L39"/>
  <c r="R39" s="1"/>
  <c r="P38"/>
  <c r="R38" s="1"/>
  <c r="P37"/>
  <c r="R37" s="1"/>
  <c r="P36"/>
  <c r="R36" s="1"/>
  <c r="P35"/>
  <c r="L35"/>
  <c r="P34"/>
  <c r="R34" s="1"/>
  <c r="P33"/>
  <c r="N33"/>
  <c r="L33"/>
  <c r="R33" s="1"/>
  <c r="U32"/>
  <c r="V33" s="1"/>
  <c r="X33" s="1"/>
  <c r="P32"/>
  <c r="R32" s="1"/>
  <c r="V31"/>
  <c r="W31" s="1"/>
  <c r="P31"/>
  <c r="L31"/>
  <c r="P30"/>
  <c r="N30"/>
  <c r="L30"/>
  <c r="R30" s="1"/>
  <c r="AA29"/>
  <c r="AA30" s="1"/>
  <c r="P29"/>
  <c r="N29"/>
  <c r="AA28"/>
  <c r="P28"/>
  <c r="R28" s="1"/>
  <c r="U27"/>
  <c r="V28" s="1"/>
  <c r="X28" s="1"/>
  <c r="P27"/>
  <c r="N27"/>
  <c r="L27"/>
  <c r="R27" s="1"/>
  <c r="W26"/>
  <c r="V26"/>
  <c r="P26"/>
  <c r="N26"/>
  <c r="R26" s="1"/>
  <c r="L26"/>
  <c r="P25"/>
  <c r="N25"/>
  <c r="L25"/>
  <c r="R25" s="1"/>
  <c r="P24"/>
  <c r="R24" s="1"/>
  <c r="P23"/>
  <c r="R23" s="1"/>
  <c r="U22"/>
  <c r="V23" s="1"/>
  <c r="X23" s="1"/>
  <c r="P22"/>
  <c r="N22"/>
  <c r="R22" s="1"/>
  <c r="V21"/>
  <c r="W21" s="1"/>
  <c r="P21"/>
  <c r="R21" s="1"/>
  <c r="P20"/>
  <c r="L20"/>
  <c r="R20" s="1"/>
  <c r="P19"/>
  <c r="N19"/>
  <c r="L19"/>
  <c r="Z18"/>
  <c r="Z19" s="1"/>
  <c r="Z20" s="1"/>
  <c r="Z21" s="1"/>
  <c r="Z22" s="1"/>
  <c r="Z23" s="1"/>
  <c r="Z24" s="1"/>
  <c r="Z25" s="1"/>
  <c r="Z26" s="1"/>
  <c r="Z27" s="1"/>
  <c r="V18"/>
  <c r="X18" s="1"/>
  <c r="P18"/>
  <c r="N18"/>
  <c r="L18"/>
  <c r="R18" s="1"/>
  <c r="U17"/>
  <c r="P17"/>
  <c r="N17"/>
  <c r="L17"/>
  <c r="W16"/>
  <c r="V16"/>
  <c r="P16"/>
  <c r="N16"/>
  <c r="L16"/>
  <c r="R15"/>
  <c r="P15"/>
  <c r="P14"/>
  <c r="N14"/>
  <c r="L14"/>
  <c r="P13"/>
  <c r="R13" s="1"/>
  <c r="U12"/>
  <c r="V13" s="1"/>
  <c r="X13" s="1"/>
  <c r="P12"/>
  <c r="R12" s="1"/>
  <c r="V11"/>
  <c r="W11" s="1"/>
  <c r="P11"/>
  <c r="N11"/>
  <c r="P10"/>
  <c r="N10"/>
  <c r="L10"/>
  <c r="P9"/>
  <c r="N9"/>
  <c r="R9" s="1"/>
  <c r="L9"/>
  <c r="P8"/>
  <c r="N8"/>
  <c r="L8"/>
  <c r="U7"/>
  <c r="V8" s="1"/>
  <c r="X8" s="1"/>
  <c r="P7"/>
  <c r="L7"/>
  <c r="W6"/>
  <c r="V6"/>
  <c r="P6"/>
  <c r="N6"/>
  <c r="L6"/>
  <c r="P5"/>
  <c r="L5"/>
  <c r="T3"/>
  <c r="Z49" i="66"/>
  <c r="AA48"/>
  <c r="AB48" s="1"/>
  <c r="AA47"/>
  <c r="AB47" s="1"/>
  <c r="AC47" s="1"/>
  <c r="J45"/>
  <c r="S44"/>
  <c r="Q44"/>
  <c r="O44"/>
  <c r="M44"/>
  <c r="K44"/>
  <c r="P43"/>
  <c r="N43"/>
  <c r="P42"/>
  <c r="R42" s="1"/>
  <c r="P41"/>
  <c r="N41"/>
  <c r="L41"/>
  <c r="P40"/>
  <c r="N40"/>
  <c r="L40"/>
  <c r="R40" s="1"/>
  <c r="P39"/>
  <c r="N39"/>
  <c r="L39"/>
  <c r="P38"/>
  <c r="R38" s="1"/>
  <c r="P37"/>
  <c r="R37" s="1"/>
  <c r="P36"/>
  <c r="R36" s="1"/>
  <c r="P35"/>
  <c r="L35"/>
  <c r="P34"/>
  <c r="R34" s="1"/>
  <c r="P33"/>
  <c r="N33"/>
  <c r="L33"/>
  <c r="U32"/>
  <c r="V33" s="1"/>
  <c r="X33" s="1"/>
  <c r="P32"/>
  <c r="R32" s="1"/>
  <c r="V31"/>
  <c r="W31" s="1"/>
  <c r="P31"/>
  <c r="L31"/>
  <c r="P30"/>
  <c r="N30"/>
  <c r="L30"/>
  <c r="R30" s="1"/>
  <c r="AA29"/>
  <c r="AA30" s="1"/>
  <c r="P29"/>
  <c r="N29"/>
  <c r="AA28"/>
  <c r="P28"/>
  <c r="R28" s="1"/>
  <c r="U27"/>
  <c r="V28" s="1"/>
  <c r="X28" s="1"/>
  <c r="P27"/>
  <c r="N27"/>
  <c r="R27" s="1"/>
  <c r="L27"/>
  <c r="V26"/>
  <c r="W26" s="1"/>
  <c r="P26"/>
  <c r="N26"/>
  <c r="L26"/>
  <c r="P25"/>
  <c r="N25"/>
  <c r="L25"/>
  <c r="P24"/>
  <c r="R24" s="1"/>
  <c r="P23"/>
  <c r="R23" s="1"/>
  <c r="U22"/>
  <c r="V23" s="1"/>
  <c r="X23" s="1"/>
  <c r="P22"/>
  <c r="N22"/>
  <c r="W21"/>
  <c r="V21"/>
  <c r="P21"/>
  <c r="R21" s="1"/>
  <c r="P20"/>
  <c r="L20"/>
  <c r="R20" s="1"/>
  <c r="P19"/>
  <c r="N19"/>
  <c r="L19"/>
  <c r="Z18"/>
  <c r="Z19" s="1"/>
  <c r="Z20" s="1"/>
  <c r="Z21" s="1"/>
  <c r="Z22" s="1"/>
  <c r="Z23" s="1"/>
  <c r="Z24" s="1"/>
  <c r="Z25" s="1"/>
  <c r="Z26" s="1"/>
  <c r="Z27" s="1"/>
  <c r="P18"/>
  <c r="N18"/>
  <c r="L18"/>
  <c r="U17"/>
  <c r="V18" s="1"/>
  <c r="X18" s="1"/>
  <c r="P17"/>
  <c r="N17"/>
  <c r="L17"/>
  <c r="V16"/>
  <c r="W16" s="1"/>
  <c r="P16"/>
  <c r="N16"/>
  <c r="L16"/>
  <c r="P15"/>
  <c r="R15" s="1"/>
  <c r="P14"/>
  <c r="N14"/>
  <c r="L14"/>
  <c r="P13"/>
  <c r="R13" s="1"/>
  <c r="U12"/>
  <c r="V13" s="1"/>
  <c r="X13" s="1"/>
  <c r="P12"/>
  <c r="R12" s="1"/>
  <c r="V11"/>
  <c r="W11" s="1"/>
  <c r="P11"/>
  <c r="N11"/>
  <c r="P10"/>
  <c r="N10"/>
  <c r="L10"/>
  <c r="P9"/>
  <c r="N9"/>
  <c r="L9"/>
  <c r="R9" s="1"/>
  <c r="P8"/>
  <c r="N8"/>
  <c r="L8"/>
  <c r="R8" s="1"/>
  <c r="U7"/>
  <c r="V8" s="1"/>
  <c r="X8" s="1"/>
  <c r="P7"/>
  <c r="L7"/>
  <c r="V6"/>
  <c r="W6" s="1"/>
  <c r="P6"/>
  <c r="N6"/>
  <c r="N44" s="1"/>
  <c r="L6"/>
  <c r="P5"/>
  <c r="P44" s="1"/>
  <c r="L5"/>
  <c r="T3"/>
  <c r="R47" i="80" l="1"/>
  <c r="R45" i="76"/>
  <c r="R45" i="75"/>
  <c r="R46"/>
  <c r="R45" i="74"/>
  <c r="R46"/>
  <c r="R34" i="73"/>
  <c r="P45"/>
  <c r="R7"/>
  <c r="R11"/>
  <c r="R22"/>
  <c r="R23"/>
  <c r="R32"/>
  <c r="R38"/>
  <c r="R44"/>
  <c r="R6"/>
  <c r="R9"/>
  <c r="R14"/>
  <c r="R16"/>
  <c r="R19"/>
  <c r="R27"/>
  <c r="R41"/>
  <c r="AB49"/>
  <c r="AC49" s="1"/>
  <c r="R5"/>
  <c r="AC48"/>
  <c r="V21" i="72"/>
  <c r="U21" s="1"/>
  <c r="U22" s="1"/>
  <c r="V23" s="1"/>
  <c r="X23" s="1"/>
  <c r="V16"/>
  <c r="U16" s="1"/>
  <c r="U17" s="1"/>
  <c r="V18" s="1"/>
  <c r="X18" s="1"/>
  <c r="R27"/>
  <c r="R28"/>
  <c r="AA30"/>
  <c r="R30"/>
  <c r="R34"/>
  <c r="R36"/>
  <c r="R32"/>
  <c r="P45"/>
  <c r="R11"/>
  <c r="R46"/>
  <c r="R18"/>
  <c r="AB49"/>
  <c r="AC49" s="1"/>
  <c r="R5"/>
  <c r="R45" s="1"/>
  <c r="R47" s="1"/>
  <c r="AC48"/>
  <c r="R36" i="71"/>
  <c r="R34"/>
  <c r="R32"/>
  <c r="R46"/>
  <c r="R18"/>
  <c r="P45"/>
  <c r="R5"/>
  <c r="R11"/>
  <c r="R7"/>
  <c r="R20"/>
  <c r="R22"/>
  <c r="R30"/>
  <c r="R44"/>
  <c r="AB49"/>
  <c r="AC49" s="1"/>
  <c r="AC48"/>
  <c r="L45"/>
  <c r="AA49"/>
  <c r="R31" i="70"/>
  <c r="AA49"/>
  <c r="R8"/>
  <c r="R9"/>
  <c r="R14"/>
  <c r="R16"/>
  <c r="R17"/>
  <c r="R19"/>
  <c r="R26"/>
  <c r="R27"/>
  <c r="R41"/>
  <c r="R18"/>
  <c r="R11"/>
  <c r="R5"/>
  <c r="R7"/>
  <c r="R20"/>
  <c r="R22"/>
  <c r="R28"/>
  <c r="R30"/>
  <c r="R32"/>
  <c r="R34"/>
  <c r="R36"/>
  <c r="R44"/>
  <c r="AB49"/>
  <c r="AC49" s="1"/>
  <c r="L45"/>
  <c r="AC48"/>
  <c r="R7" i="69"/>
  <c r="R25"/>
  <c r="R5"/>
  <c r="P44"/>
  <c r="R11"/>
  <c r="R20"/>
  <c r="R22"/>
  <c r="R27"/>
  <c r="R29"/>
  <c r="R31"/>
  <c r="R33"/>
  <c r="R35"/>
  <c r="R41"/>
  <c r="R43"/>
  <c r="AB49"/>
  <c r="AC49" s="1"/>
  <c r="L44"/>
  <c r="AC48"/>
  <c r="R7" i="68"/>
  <c r="R27"/>
  <c r="R20"/>
  <c r="P44"/>
  <c r="R11"/>
  <c r="R18"/>
  <c r="R25"/>
  <c r="R31"/>
  <c r="R33"/>
  <c r="R35"/>
  <c r="R43"/>
  <c r="R44"/>
  <c r="R46" s="1"/>
  <c r="AB49"/>
  <c r="AC49" s="1"/>
  <c r="L44"/>
  <c r="AC48"/>
  <c r="R35" i="67"/>
  <c r="R19"/>
  <c r="R16"/>
  <c r="R5"/>
  <c r="R29"/>
  <c r="R31"/>
  <c r="R43"/>
  <c r="P44"/>
  <c r="R6"/>
  <c r="R7"/>
  <c r="R8"/>
  <c r="R10"/>
  <c r="R11"/>
  <c r="R14"/>
  <c r="R17"/>
  <c r="R45"/>
  <c r="AB49"/>
  <c r="AC49" s="1"/>
  <c r="AC48"/>
  <c r="L44"/>
  <c r="N44"/>
  <c r="AA49"/>
  <c r="R22" i="66"/>
  <c r="R26"/>
  <c r="R29"/>
  <c r="R11"/>
  <c r="R18"/>
  <c r="R25"/>
  <c r="R31"/>
  <c r="R33"/>
  <c r="R35"/>
  <c r="R5"/>
  <c r="R7"/>
  <c r="R43"/>
  <c r="R6"/>
  <c r="R10"/>
  <c r="R14"/>
  <c r="R45" s="1"/>
  <c r="R16"/>
  <c r="R17"/>
  <c r="R19"/>
  <c r="R39"/>
  <c r="R41"/>
  <c r="AB49"/>
  <c r="AC49" s="1"/>
  <c r="AC48"/>
  <c r="L44"/>
  <c r="AA49"/>
  <c r="R47" i="76" l="1"/>
  <c r="R47" i="75"/>
  <c r="R47" i="74"/>
  <c r="R45" i="73"/>
  <c r="R47" s="1"/>
  <c r="R45" i="71"/>
  <c r="R47" s="1"/>
  <c r="R45" i="70"/>
  <c r="R47" s="1"/>
  <c r="R44" i="69"/>
  <c r="R46" s="1"/>
  <c r="R44" i="67"/>
  <c r="R46" s="1"/>
  <c r="R44" i="66"/>
  <c r="R46" s="1"/>
  <c r="N27" i="65" l="1"/>
  <c r="N22"/>
  <c r="Z49"/>
  <c r="AA48"/>
  <c r="AB48" s="1"/>
  <c r="AB47"/>
  <c r="AC47" s="1"/>
  <c r="AA47"/>
  <c r="J45"/>
  <c r="S44"/>
  <c r="Q44"/>
  <c r="O44"/>
  <c r="M44"/>
  <c r="K44"/>
  <c r="P43"/>
  <c r="N43"/>
  <c r="P42"/>
  <c r="R42" s="1"/>
  <c r="P41"/>
  <c r="N41"/>
  <c r="L41"/>
  <c r="R41" s="1"/>
  <c r="P40"/>
  <c r="N40"/>
  <c r="L40"/>
  <c r="R40" s="1"/>
  <c r="P39"/>
  <c r="N39"/>
  <c r="L39"/>
  <c r="R39" s="1"/>
  <c r="P38"/>
  <c r="R38" s="1"/>
  <c r="P37"/>
  <c r="R37" s="1"/>
  <c r="P36"/>
  <c r="R36" s="1"/>
  <c r="P35"/>
  <c r="L35"/>
  <c r="P34"/>
  <c r="R34" s="1"/>
  <c r="P33"/>
  <c r="N33"/>
  <c r="R33" s="1"/>
  <c r="L33"/>
  <c r="U32"/>
  <c r="V33" s="1"/>
  <c r="X33" s="1"/>
  <c r="P32"/>
  <c r="R32" s="1"/>
  <c r="W31"/>
  <c r="V31"/>
  <c r="P31"/>
  <c r="L31"/>
  <c r="AA29"/>
  <c r="P30"/>
  <c r="N30"/>
  <c r="L30"/>
  <c r="AA28"/>
  <c r="P29"/>
  <c r="N29"/>
  <c r="P28"/>
  <c r="R28" s="1"/>
  <c r="U27"/>
  <c r="V28" s="1"/>
  <c r="X28" s="1"/>
  <c r="P27"/>
  <c r="L27"/>
  <c r="V26"/>
  <c r="W26" s="1"/>
  <c r="P26"/>
  <c r="N26"/>
  <c r="L26"/>
  <c r="P25"/>
  <c r="N25"/>
  <c r="L25"/>
  <c r="P24"/>
  <c r="R24" s="1"/>
  <c r="P23"/>
  <c r="R23" s="1"/>
  <c r="U22"/>
  <c r="V23" s="1"/>
  <c r="X23" s="1"/>
  <c r="P22"/>
  <c r="R22" s="1"/>
  <c r="V21"/>
  <c r="W21" s="1"/>
  <c r="P21"/>
  <c r="R21" s="1"/>
  <c r="P20"/>
  <c r="L20"/>
  <c r="Z18"/>
  <c r="Z19" s="1"/>
  <c r="Z20" s="1"/>
  <c r="Z21" s="1"/>
  <c r="Z22" s="1"/>
  <c r="Z23" s="1"/>
  <c r="Z24" s="1"/>
  <c r="Z25" s="1"/>
  <c r="Z26" s="1"/>
  <c r="Z27" s="1"/>
  <c r="P19"/>
  <c r="N19"/>
  <c r="L19"/>
  <c r="P18"/>
  <c r="N18"/>
  <c r="L18"/>
  <c r="U17"/>
  <c r="V18" s="1"/>
  <c r="X18" s="1"/>
  <c r="P17"/>
  <c r="N17"/>
  <c r="L17"/>
  <c r="R17" s="1"/>
  <c r="V16"/>
  <c r="W16" s="1"/>
  <c r="P16"/>
  <c r="N16"/>
  <c r="L16"/>
  <c r="R16" s="1"/>
  <c r="P15"/>
  <c r="R15" s="1"/>
  <c r="P14"/>
  <c r="N14"/>
  <c r="L14"/>
  <c r="P13"/>
  <c r="R13" s="1"/>
  <c r="U12"/>
  <c r="V13" s="1"/>
  <c r="X13" s="1"/>
  <c r="P12"/>
  <c r="R12" s="1"/>
  <c r="V11"/>
  <c r="W11" s="1"/>
  <c r="P11"/>
  <c r="N11"/>
  <c r="P10"/>
  <c r="N10"/>
  <c r="L10"/>
  <c r="P9"/>
  <c r="N9"/>
  <c r="R9" s="1"/>
  <c r="L9"/>
  <c r="P8"/>
  <c r="N8"/>
  <c r="L8"/>
  <c r="U7"/>
  <c r="V8" s="1"/>
  <c r="X8" s="1"/>
  <c r="P7"/>
  <c r="L7"/>
  <c r="V6"/>
  <c r="W6" s="1"/>
  <c r="P6"/>
  <c r="N6"/>
  <c r="L6"/>
  <c r="P5"/>
  <c r="L5"/>
  <c r="L44" s="1"/>
  <c r="T3"/>
  <c r="U32" i="64"/>
  <c r="V33" s="1"/>
  <c r="X33" s="1"/>
  <c r="V31"/>
  <c r="W31" s="1"/>
  <c r="U27"/>
  <c r="V28" s="1"/>
  <c r="X28" s="1"/>
  <c r="V26"/>
  <c r="W26" s="1"/>
  <c r="U22"/>
  <c r="V23" s="1"/>
  <c r="X23" s="1"/>
  <c r="V21"/>
  <c r="W21" s="1"/>
  <c r="R29" i="65" l="1"/>
  <c r="P44"/>
  <c r="R25"/>
  <c r="R30"/>
  <c r="R35"/>
  <c r="R19"/>
  <c r="N44"/>
  <c r="R26"/>
  <c r="R27"/>
  <c r="R7"/>
  <c r="R8"/>
  <c r="R10"/>
  <c r="R11"/>
  <c r="R14"/>
  <c r="R45" s="1"/>
  <c r="R18"/>
  <c r="R20"/>
  <c r="R31"/>
  <c r="R43"/>
  <c r="AA30"/>
  <c r="AB49"/>
  <c r="AC49" s="1"/>
  <c r="AC48"/>
  <c r="R5"/>
  <c r="R6"/>
  <c r="AA49"/>
  <c r="J45" i="64"/>
  <c r="S44"/>
  <c r="Q44"/>
  <c r="O44"/>
  <c r="M44"/>
  <c r="K44"/>
  <c r="P43"/>
  <c r="N43"/>
  <c r="P42"/>
  <c r="R42" s="1"/>
  <c r="P41"/>
  <c r="N41"/>
  <c r="L41"/>
  <c r="P40"/>
  <c r="N40"/>
  <c r="L40"/>
  <c r="R40" s="1"/>
  <c r="P39"/>
  <c r="N39"/>
  <c r="L39"/>
  <c r="P38"/>
  <c r="R38" s="1"/>
  <c r="P37"/>
  <c r="R37" s="1"/>
  <c r="AA30"/>
  <c r="P36"/>
  <c r="R36" s="1"/>
  <c r="Z49"/>
  <c r="AA29"/>
  <c r="P35"/>
  <c r="L35"/>
  <c r="AA48"/>
  <c r="AB48" s="1"/>
  <c r="AC48" s="1"/>
  <c r="P34"/>
  <c r="R34" s="1"/>
  <c r="AA47"/>
  <c r="AB47" s="1"/>
  <c r="AC47" s="1"/>
  <c r="P33"/>
  <c r="N33"/>
  <c r="L33"/>
  <c r="P32"/>
  <c r="R32" s="1"/>
  <c r="P31"/>
  <c r="L31"/>
  <c r="P30"/>
  <c r="N30"/>
  <c r="L30"/>
  <c r="P29"/>
  <c r="N29"/>
  <c r="P28"/>
  <c r="R28" s="1"/>
  <c r="P27"/>
  <c r="L27"/>
  <c r="P26"/>
  <c r="N26"/>
  <c r="L26"/>
  <c r="Z19"/>
  <c r="Z20" s="1"/>
  <c r="Z21" s="1"/>
  <c r="Z22" s="1"/>
  <c r="Z23" s="1"/>
  <c r="Z24" s="1"/>
  <c r="Z25" s="1"/>
  <c r="Z26" s="1"/>
  <c r="Z27" s="1"/>
  <c r="Z28" s="1"/>
  <c r="P25"/>
  <c r="N25"/>
  <c r="L25"/>
  <c r="P24"/>
  <c r="R24" s="1"/>
  <c r="P23"/>
  <c r="R23" s="1"/>
  <c r="P22"/>
  <c r="R22" s="1"/>
  <c r="P21"/>
  <c r="R21" s="1"/>
  <c r="P20"/>
  <c r="L20"/>
  <c r="P19"/>
  <c r="N19"/>
  <c r="L19"/>
  <c r="P18"/>
  <c r="N18"/>
  <c r="L18"/>
  <c r="U17"/>
  <c r="V18" s="1"/>
  <c r="X18" s="1"/>
  <c r="P17"/>
  <c r="N17"/>
  <c r="L17"/>
  <c r="V16"/>
  <c r="W16" s="1"/>
  <c r="P16"/>
  <c r="N16"/>
  <c r="L16"/>
  <c r="R15"/>
  <c r="P15"/>
  <c r="AA14"/>
  <c r="P14"/>
  <c r="N14"/>
  <c r="L14"/>
  <c r="P13"/>
  <c r="R13" s="1"/>
  <c r="U12"/>
  <c r="V13" s="1"/>
  <c r="X13" s="1"/>
  <c r="P12"/>
  <c r="R12" s="1"/>
  <c r="V11"/>
  <c r="W11" s="1"/>
  <c r="P11"/>
  <c r="N11"/>
  <c r="P10"/>
  <c r="N10"/>
  <c r="L10"/>
  <c r="R10" s="1"/>
  <c r="P9"/>
  <c r="N9"/>
  <c r="L9"/>
  <c r="P8"/>
  <c r="N8"/>
  <c r="L8"/>
  <c r="U7"/>
  <c r="V8" s="1"/>
  <c r="X8" s="1"/>
  <c r="P7"/>
  <c r="L7"/>
  <c r="V6"/>
  <c r="W6" s="1"/>
  <c r="P6"/>
  <c r="N6"/>
  <c r="N44" s="1"/>
  <c r="L6"/>
  <c r="P5"/>
  <c r="L5"/>
  <c r="T3"/>
  <c r="N26" i="63"/>
  <c r="V36"/>
  <c r="V35"/>
  <c r="J45"/>
  <c r="S44"/>
  <c r="Q44"/>
  <c r="O44"/>
  <c r="M44"/>
  <c r="K44"/>
  <c r="P43"/>
  <c r="N43"/>
  <c r="P42"/>
  <c r="R42" s="1"/>
  <c r="P41"/>
  <c r="N41"/>
  <c r="L41"/>
  <c r="P40"/>
  <c r="N40"/>
  <c r="R40" s="1"/>
  <c r="L40"/>
  <c r="P39"/>
  <c r="N39"/>
  <c r="L39"/>
  <c r="R39" s="1"/>
  <c r="P38"/>
  <c r="R38" s="1"/>
  <c r="P37"/>
  <c r="R37" s="1"/>
  <c r="P36"/>
  <c r="R36" s="1"/>
  <c r="Z35"/>
  <c r="P35"/>
  <c r="L35"/>
  <c r="AA34"/>
  <c r="AB34" s="1"/>
  <c r="P34"/>
  <c r="R34" s="1"/>
  <c r="AA33"/>
  <c r="AB33" s="1"/>
  <c r="AC33" s="1"/>
  <c r="P33"/>
  <c r="N33"/>
  <c r="L33"/>
  <c r="P32"/>
  <c r="R32" s="1"/>
  <c r="P31"/>
  <c r="L31"/>
  <c r="P30"/>
  <c r="N30"/>
  <c r="L30"/>
  <c r="V37"/>
  <c r="P29"/>
  <c r="N29"/>
  <c r="P28"/>
  <c r="R28"/>
  <c r="P27"/>
  <c r="L27"/>
  <c r="P26"/>
  <c r="L26"/>
  <c r="U25"/>
  <c r="U26" s="1"/>
  <c r="U27" s="1"/>
  <c r="U28" s="1"/>
  <c r="U29" s="1"/>
  <c r="U30" s="1"/>
  <c r="U31" s="1"/>
  <c r="U32" s="1"/>
  <c r="U33" s="1"/>
  <c r="U34" s="1"/>
  <c r="P25"/>
  <c r="N25"/>
  <c r="L25"/>
  <c r="P24"/>
  <c r="R24" s="1"/>
  <c r="P23"/>
  <c r="R23" s="1"/>
  <c r="P22"/>
  <c r="R22" s="1"/>
  <c r="P21"/>
  <c r="P20"/>
  <c r="L20"/>
  <c r="P19"/>
  <c r="N19"/>
  <c r="L19"/>
  <c r="P18"/>
  <c r="N18"/>
  <c r="L18"/>
  <c r="U17"/>
  <c r="V18" s="1"/>
  <c r="X18" s="1"/>
  <c r="P17"/>
  <c r="N17"/>
  <c r="L17"/>
  <c r="V16"/>
  <c r="W16" s="1"/>
  <c r="P16"/>
  <c r="N16"/>
  <c r="L16"/>
  <c r="P15"/>
  <c r="AA14"/>
  <c r="P14"/>
  <c r="N14"/>
  <c r="L14"/>
  <c r="P13"/>
  <c r="R13" s="1"/>
  <c r="U12"/>
  <c r="V13" s="1"/>
  <c r="X13" s="1"/>
  <c r="P12"/>
  <c r="R12" s="1"/>
  <c r="V11"/>
  <c r="W11" s="1"/>
  <c r="P11"/>
  <c r="N11"/>
  <c r="P10"/>
  <c r="N10"/>
  <c r="L10"/>
  <c r="P9"/>
  <c r="N9"/>
  <c r="L9"/>
  <c r="P8"/>
  <c r="N8"/>
  <c r="L8"/>
  <c r="R8" s="1"/>
  <c r="U7"/>
  <c r="V8" s="1"/>
  <c r="X8" s="1"/>
  <c r="P7"/>
  <c r="L7"/>
  <c r="V6"/>
  <c r="W6" s="1"/>
  <c r="P6"/>
  <c r="N6"/>
  <c r="L6"/>
  <c r="P5"/>
  <c r="L5"/>
  <c r="R5" s="1"/>
  <c r="T3"/>
  <c r="J45" i="62"/>
  <c r="S44"/>
  <c r="Q44"/>
  <c r="O44"/>
  <c r="M44"/>
  <c r="K44"/>
  <c r="P43"/>
  <c r="N43"/>
  <c r="P42"/>
  <c r="R42" s="1"/>
  <c r="P41"/>
  <c r="N41"/>
  <c r="L41"/>
  <c r="R41" s="1"/>
  <c r="P40"/>
  <c r="N40"/>
  <c r="L40"/>
  <c r="R40" s="1"/>
  <c r="P39"/>
  <c r="N39"/>
  <c r="L39"/>
  <c r="R39" s="1"/>
  <c r="P38"/>
  <c r="R38" s="1"/>
  <c r="P37"/>
  <c r="R37" s="1"/>
  <c r="P36"/>
  <c r="R36" s="1"/>
  <c r="Z35"/>
  <c r="P35"/>
  <c r="L35"/>
  <c r="AA34"/>
  <c r="AA35" s="1"/>
  <c r="P34"/>
  <c r="R34" s="1"/>
  <c r="AB33"/>
  <c r="AC33" s="1"/>
  <c r="AA33"/>
  <c r="P33"/>
  <c r="N33"/>
  <c r="L33"/>
  <c r="R33" s="1"/>
  <c r="P32"/>
  <c r="R32" s="1"/>
  <c r="P31"/>
  <c r="L31"/>
  <c r="P30"/>
  <c r="N30"/>
  <c r="L30"/>
  <c r="R30" s="1"/>
  <c r="V29"/>
  <c r="V31" s="1"/>
  <c r="P29"/>
  <c r="N29"/>
  <c r="P28"/>
  <c r="N28"/>
  <c r="P27"/>
  <c r="L27"/>
  <c r="P26"/>
  <c r="N26"/>
  <c r="L26"/>
  <c r="R26" s="1"/>
  <c r="U25"/>
  <c r="U26" s="1"/>
  <c r="U27" s="1"/>
  <c r="U28" s="1"/>
  <c r="P25"/>
  <c r="N25"/>
  <c r="L25"/>
  <c r="P24"/>
  <c r="R24" s="1"/>
  <c r="P23"/>
  <c r="R23" s="1"/>
  <c r="P22"/>
  <c r="R22" s="1"/>
  <c r="P21"/>
  <c r="N21"/>
  <c r="R21" s="1"/>
  <c r="P20"/>
  <c r="L20"/>
  <c r="R20" s="1"/>
  <c r="P19"/>
  <c r="N19"/>
  <c r="R19" s="1"/>
  <c r="L19"/>
  <c r="P18"/>
  <c r="N18"/>
  <c r="L18"/>
  <c r="U17"/>
  <c r="V18" s="1"/>
  <c r="X18" s="1"/>
  <c r="P17"/>
  <c r="N17"/>
  <c r="L17"/>
  <c r="R17" s="1"/>
  <c r="V16"/>
  <c r="W16" s="1"/>
  <c r="P16"/>
  <c r="N16"/>
  <c r="L16"/>
  <c r="R16" s="1"/>
  <c r="P15"/>
  <c r="N15"/>
  <c r="R15" s="1"/>
  <c r="AA14"/>
  <c r="P14"/>
  <c r="N14"/>
  <c r="L14"/>
  <c r="R14" s="1"/>
  <c r="V13"/>
  <c r="X13" s="1"/>
  <c r="P13"/>
  <c r="R13" s="1"/>
  <c r="U12"/>
  <c r="R12"/>
  <c r="P12"/>
  <c r="W11"/>
  <c r="V11"/>
  <c r="P11"/>
  <c r="N11"/>
  <c r="P10"/>
  <c r="N10"/>
  <c r="L10"/>
  <c r="R10" s="1"/>
  <c r="P9"/>
  <c r="N9"/>
  <c r="L9"/>
  <c r="R9" s="1"/>
  <c r="V8"/>
  <c r="X8" s="1"/>
  <c r="P8"/>
  <c r="N8"/>
  <c r="L8"/>
  <c r="R8" s="1"/>
  <c r="U7"/>
  <c r="P7"/>
  <c r="L7"/>
  <c r="R7" s="1"/>
  <c r="V6"/>
  <c r="W6" s="1"/>
  <c r="P6"/>
  <c r="N6"/>
  <c r="L6"/>
  <c r="R6" s="1"/>
  <c r="P5"/>
  <c r="N5"/>
  <c r="N44" s="1"/>
  <c r="L5"/>
  <c r="R5" s="1"/>
  <c r="T3"/>
  <c r="P15" i="61"/>
  <c r="N15"/>
  <c r="P21"/>
  <c r="N21"/>
  <c r="J45"/>
  <c r="S44"/>
  <c r="Q44"/>
  <c r="O44"/>
  <c r="M44"/>
  <c r="K44"/>
  <c r="P43"/>
  <c r="N43"/>
  <c r="P42"/>
  <c r="R42" s="1"/>
  <c r="P41"/>
  <c r="N41"/>
  <c r="L41"/>
  <c r="P40"/>
  <c r="N40"/>
  <c r="L40"/>
  <c r="P39"/>
  <c r="N39"/>
  <c r="L39"/>
  <c r="P38"/>
  <c r="R38" s="1"/>
  <c r="Z35"/>
  <c r="P37"/>
  <c r="R37" s="1"/>
  <c r="AA34"/>
  <c r="P36"/>
  <c r="R36" s="1"/>
  <c r="AA33"/>
  <c r="AB33" s="1"/>
  <c r="AC33" s="1"/>
  <c r="P35"/>
  <c r="L35"/>
  <c r="P34"/>
  <c r="R34" s="1"/>
  <c r="P33"/>
  <c r="N33"/>
  <c r="L33"/>
  <c r="P32"/>
  <c r="R32" s="1"/>
  <c r="V29"/>
  <c r="V31" s="1"/>
  <c r="P31"/>
  <c r="L31"/>
  <c r="P30"/>
  <c r="N30"/>
  <c r="L30"/>
  <c r="P29"/>
  <c r="N29"/>
  <c r="P28"/>
  <c r="N28"/>
  <c r="U25"/>
  <c r="U26" s="1"/>
  <c r="U27" s="1"/>
  <c r="U28" s="1"/>
  <c r="P27"/>
  <c r="L27"/>
  <c r="P26"/>
  <c r="N26"/>
  <c r="L26"/>
  <c r="P25"/>
  <c r="N25"/>
  <c r="L25"/>
  <c r="P24"/>
  <c r="R24" s="1"/>
  <c r="P23"/>
  <c r="R23" s="1"/>
  <c r="P22"/>
  <c r="R22" s="1"/>
  <c r="P20"/>
  <c r="L20"/>
  <c r="P19"/>
  <c r="N19"/>
  <c r="L19"/>
  <c r="U17"/>
  <c r="V18" s="1"/>
  <c r="X18" s="1"/>
  <c r="P18"/>
  <c r="N18"/>
  <c r="L18"/>
  <c r="V16"/>
  <c r="W16" s="1"/>
  <c r="P17"/>
  <c r="N17"/>
  <c r="L17"/>
  <c r="P16"/>
  <c r="N16"/>
  <c r="L16"/>
  <c r="AA14"/>
  <c r="P14"/>
  <c r="N14"/>
  <c r="L14"/>
  <c r="P13"/>
  <c r="R13" s="1"/>
  <c r="U12"/>
  <c r="V13" s="1"/>
  <c r="X13" s="1"/>
  <c r="P12"/>
  <c r="R12" s="1"/>
  <c r="V11"/>
  <c r="W11" s="1"/>
  <c r="P11"/>
  <c r="N11"/>
  <c r="P10"/>
  <c r="N10"/>
  <c r="L10"/>
  <c r="P9"/>
  <c r="N9"/>
  <c r="L9"/>
  <c r="P8"/>
  <c r="N8"/>
  <c r="L8"/>
  <c r="U7"/>
  <c r="V8" s="1"/>
  <c r="X8" s="1"/>
  <c r="P7"/>
  <c r="L7"/>
  <c r="V6"/>
  <c r="W6" s="1"/>
  <c r="P6"/>
  <c r="N6"/>
  <c r="L6"/>
  <c r="P5"/>
  <c r="N5"/>
  <c r="L5"/>
  <c r="T3"/>
  <c r="N41" i="60"/>
  <c r="N24"/>
  <c r="N11"/>
  <c r="R44" i="65" l="1"/>
  <c r="R46" s="1"/>
  <c r="R6" i="64"/>
  <c r="R29"/>
  <c r="R33"/>
  <c r="AA31"/>
  <c r="R5"/>
  <c r="R14"/>
  <c r="AA49"/>
  <c r="R35"/>
  <c r="R27"/>
  <c r="R45"/>
  <c r="P44"/>
  <c r="R7"/>
  <c r="R11"/>
  <c r="R17"/>
  <c r="R20"/>
  <c r="R25"/>
  <c r="R31"/>
  <c r="R43"/>
  <c r="R8"/>
  <c r="R9"/>
  <c r="R18"/>
  <c r="R19"/>
  <c r="R26"/>
  <c r="R30"/>
  <c r="R39"/>
  <c r="R41"/>
  <c r="R16"/>
  <c r="AB49"/>
  <c r="AC49" s="1"/>
  <c r="L44"/>
  <c r="R29" i="63"/>
  <c r="R18"/>
  <c r="R25"/>
  <c r="R27"/>
  <c r="R31"/>
  <c r="P44"/>
  <c r="R9"/>
  <c r="R11"/>
  <c r="N44"/>
  <c r="R6"/>
  <c r="R7"/>
  <c r="R10"/>
  <c r="R14"/>
  <c r="R15"/>
  <c r="R16"/>
  <c r="R17"/>
  <c r="R19"/>
  <c r="R20"/>
  <c r="R21"/>
  <c r="R26"/>
  <c r="R30"/>
  <c r="R33"/>
  <c r="AA35"/>
  <c r="R35"/>
  <c r="R41"/>
  <c r="R43"/>
  <c r="R44" s="1"/>
  <c r="AB35"/>
  <c r="AC35" s="1"/>
  <c r="AC34"/>
  <c r="L44"/>
  <c r="P44" i="62"/>
  <c r="R11"/>
  <c r="R18"/>
  <c r="R25"/>
  <c r="R27"/>
  <c r="R28"/>
  <c r="R29"/>
  <c r="R31"/>
  <c r="R35"/>
  <c r="R45"/>
  <c r="R43"/>
  <c r="L44"/>
  <c r="AB34"/>
  <c r="R21" i="61"/>
  <c r="R15"/>
  <c r="N44"/>
  <c r="R9"/>
  <c r="AA35"/>
  <c r="L44"/>
  <c r="P44"/>
  <c r="R16"/>
  <c r="R45" s="1"/>
  <c r="R19"/>
  <c r="R20"/>
  <c r="R26"/>
  <c r="R28"/>
  <c r="R29"/>
  <c r="R30"/>
  <c r="AB34"/>
  <c r="AC34" s="1"/>
  <c r="R39"/>
  <c r="R41"/>
  <c r="R35"/>
  <c r="R6"/>
  <c r="R7"/>
  <c r="R8"/>
  <c r="R10"/>
  <c r="R11"/>
  <c r="R14"/>
  <c r="R27"/>
  <c r="R31"/>
  <c r="R43"/>
  <c r="R17"/>
  <c r="R18"/>
  <c r="R25"/>
  <c r="R33"/>
  <c r="R40"/>
  <c r="R5"/>
  <c r="J43" i="60"/>
  <c r="S42"/>
  <c r="Q42"/>
  <c r="O42"/>
  <c r="M42"/>
  <c r="K42"/>
  <c r="R41"/>
  <c r="P41"/>
  <c r="R40"/>
  <c r="P40"/>
  <c r="P39"/>
  <c r="N39"/>
  <c r="L39"/>
  <c r="P38"/>
  <c r="N38"/>
  <c r="R38" s="1"/>
  <c r="L38"/>
  <c r="P37"/>
  <c r="N37"/>
  <c r="L37"/>
  <c r="P36"/>
  <c r="R36" s="1"/>
  <c r="Z35"/>
  <c r="P35"/>
  <c r="R35" s="1"/>
  <c r="AA34"/>
  <c r="AB34" s="1"/>
  <c r="P34"/>
  <c r="R34" s="1"/>
  <c r="AA33"/>
  <c r="AB33" s="1"/>
  <c r="AC33" s="1"/>
  <c r="P33"/>
  <c r="L33"/>
  <c r="P32"/>
  <c r="R32" s="1"/>
  <c r="V31"/>
  <c r="P31"/>
  <c r="N31"/>
  <c r="L31"/>
  <c r="P30"/>
  <c r="R30" s="1"/>
  <c r="V29"/>
  <c r="P29"/>
  <c r="L29"/>
  <c r="P28"/>
  <c r="N28"/>
  <c r="L28"/>
  <c r="P27"/>
  <c r="N27"/>
  <c r="P26"/>
  <c r="N26"/>
  <c r="U25"/>
  <c r="U26" s="1"/>
  <c r="U27" s="1"/>
  <c r="U28" s="1"/>
  <c r="P25"/>
  <c r="L25"/>
  <c r="P24"/>
  <c r="L24"/>
  <c r="R24" s="1"/>
  <c r="P23"/>
  <c r="N23"/>
  <c r="L23"/>
  <c r="P22"/>
  <c r="R22" s="1"/>
  <c r="P21"/>
  <c r="R21" s="1"/>
  <c r="P20"/>
  <c r="R20" s="1"/>
  <c r="P19"/>
  <c r="L19"/>
  <c r="R19" s="1"/>
  <c r="P18"/>
  <c r="N18"/>
  <c r="L18"/>
  <c r="U17"/>
  <c r="V18" s="1"/>
  <c r="X18" s="1"/>
  <c r="P17"/>
  <c r="N17"/>
  <c r="L17"/>
  <c r="V16"/>
  <c r="W16" s="1"/>
  <c r="P16"/>
  <c r="N16"/>
  <c r="R16" s="1"/>
  <c r="L16"/>
  <c r="P15"/>
  <c r="N15"/>
  <c r="L15"/>
  <c r="AA14"/>
  <c r="P14"/>
  <c r="N14"/>
  <c r="L14"/>
  <c r="P13"/>
  <c r="R13" s="1"/>
  <c r="U12"/>
  <c r="V13" s="1"/>
  <c r="X13" s="1"/>
  <c r="P12"/>
  <c r="R12" s="1"/>
  <c r="V11"/>
  <c r="W11" s="1"/>
  <c r="P11"/>
  <c r="P10"/>
  <c r="N10"/>
  <c r="L10"/>
  <c r="P9"/>
  <c r="N9"/>
  <c r="L9"/>
  <c r="P8"/>
  <c r="N8"/>
  <c r="L8"/>
  <c r="U7"/>
  <c r="V8" s="1"/>
  <c r="X8" s="1"/>
  <c r="P7"/>
  <c r="R7"/>
  <c r="L7"/>
  <c r="W6"/>
  <c r="V6"/>
  <c r="P6"/>
  <c r="N6"/>
  <c r="L6"/>
  <c r="P5"/>
  <c r="N5"/>
  <c r="L5"/>
  <c r="T3"/>
  <c r="AA14" i="59"/>
  <c r="R44" i="64" l="1"/>
  <c r="R46" s="1"/>
  <c r="R45" i="63"/>
  <c r="R46" s="1"/>
  <c r="R44" i="62"/>
  <c r="R46" s="1"/>
  <c r="AB35"/>
  <c r="AC35" s="1"/>
  <c r="AC34"/>
  <c r="R44" i="61"/>
  <c r="AB35"/>
  <c r="AC35" s="1"/>
  <c r="R46"/>
  <c r="R8" i="60"/>
  <c r="R9"/>
  <c r="R29"/>
  <c r="R31"/>
  <c r="R28"/>
  <c r="R25"/>
  <c r="N42"/>
  <c r="R10"/>
  <c r="R14"/>
  <c r="R18"/>
  <c r="R6"/>
  <c r="P42"/>
  <c r="R11"/>
  <c r="R15"/>
  <c r="R43" s="1"/>
  <c r="R17"/>
  <c r="R23"/>
  <c r="R26"/>
  <c r="R27"/>
  <c r="R33"/>
  <c r="R37"/>
  <c r="R39"/>
  <c r="AB35"/>
  <c r="AC35" s="1"/>
  <c r="AC34"/>
  <c r="R5"/>
  <c r="AA35"/>
  <c r="L42"/>
  <c r="J43" i="59"/>
  <c r="S42"/>
  <c r="Q42"/>
  <c r="O42"/>
  <c r="M42"/>
  <c r="K42"/>
  <c r="P41"/>
  <c r="R41" s="1"/>
  <c r="P40"/>
  <c r="R40" s="1"/>
  <c r="P39"/>
  <c r="N39"/>
  <c r="L39"/>
  <c r="R39" s="1"/>
  <c r="P38"/>
  <c r="N38"/>
  <c r="L38"/>
  <c r="P37"/>
  <c r="N37"/>
  <c r="L37"/>
  <c r="R37" s="1"/>
  <c r="P36"/>
  <c r="R36" s="1"/>
  <c r="P35"/>
  <c r="R35" s="1"/>
  <c r="Z35"/>
  <c r="P34"/>
  <c r="R34" s="1"/>
  <c r="AA34"/>
  <c r="AB34" s="1"/>
  <c r="P33"/>
  <c r="N33"/>
  <c r="L33"/>
  <c r="AA33"/>
  <c r="AB33" s="1"/>
  <c r="AC33" s="1"/>
  <c r="P32"/>
  <c r="R32" s="1"/>
  <c r="P31"/>
  <c r="N31"/>
  <c r="L31"/>
  <c r="R31" s="1"/>
  <c r="P30"/>
  <c r="R30" s="1"/>
  <c r="P29"/>
  <c r="L29"/>
  <c r="V29"/>
  <c r="V31" s="1"/>
  <c r="P28"/>
  <c r="N28"/>
  <c r="L28"/>
  <c r="P27"/>
  <c r="N27"/>
  <c r="P26"/>
  <c r="N26"/>
  <c r="U25"/>
  <c r="U26" s="1"/>
  <c r="U27" s="1"/>
  <c r="U28" s="1"/>
  <c r="P25"/>
  <c r="L25"/>
  <c r="P24"/>
  <c r="N24"/>
  <c r="L24"/>
  <c r="P23"/>
  <c r="N23"/>
  <c r="L23"/>
  <c r="P22"/>
  <c r="R22" s="1"/>
  <c r="R43" s="1"/>
  <c r="P21"/>
  <c r="R21" s="1"/>
  <c r="R20"/>
  <c r="P20"/>
  <c r="P19"/>
  <c r="L19"/>
  <c r="P18"/>
  <c r="N18"/>
  <c r="L18"/>
  <c r="U17"/>
  <c r="V18" s="1"/>
  <c r="X18" s="1"/>
  <c r="P17"/>
  <c r="N17"/>
  <c r="L17"/>
  <c r="V16"/>
  <c r="W16" s="1"/>
  <c r="P16"/>
  <c r="N16"/>
  <c r="L16"/>
  <c r="P15"/>
  <c r="N15"/>
  <c r="L15"/>
  <c r="P14"/>
  <c r="N14"/>
  <c r="L14"/>
  <c r="P13"/>
  <c r="R13" s="1"/>
  <c r="U12"/>
  <c r="V13" s="1"/>
  <c r="X13" s="1"/>
  <c r="P12"/>
  <c r="R12" s="1"/>
  <c r="V11"/>
  <c r="W11" s="1"/>
  <c r="P11"/>
  <c r="N11"/>
  <c r="P10"/>
  <c r="N10"/>
  <c r="L10"/>
  <c r="P9"/>
  <c r="N9"/>
  <c r="L9"/>
  <c r="P8"/>
  <c r="N8"/>
  <c r="L8"/>
  <c r="U7"/>
  <c r="V8" s="1"/>
  <c r="X8" s="1"/>
  <c r="P7"/>
  <c r="N7"/>
  <c r="L7"/>
  <c r="V6"/>
  <c r="W6" s="1"/>
  <c r="P6"/>
  <c r="N6"/>
  <c r="L6"/>
  <c r="P5"/>
  <c r="N5"/>
  <c r="L5"/>
  <c r="L42" s="1"/>
  <c r="T3"/>
  <c r="N27" i="58"/>
  <c r="N24"/>
  <c r="N11"/>
  <c r="N7"/>
  <c r="J44"/>
  <c r="S43"/>
  <c r="Q43"/>
  <c r="O43"/>
  <c r="M43"/>
  <c r="K43"/>
  <c r="P42"/>
  <c r="R42" s="1"/>
  <c r="P41"/>
  <c r="R41" s="1"/>
  <c r="P40"/>
  <c r="N40"/>
  <c r="L40"/>
  <c r="R40" s="1"/>
  <c r="P39"/>
  <c r="N39"/>
  <c r="L39"/>
  <c r="P38"/>
  <c r="N38"/>
  <c r="L38"/>
  <c r="R38" s="1"/>
  <c r="P37"/>
  <c r="R37" s="1"/>
  <c r="P36"/>
  <c r="R36" s="1"/>
  <c r="Z35"/>
  <c r="P35"/>
  <c r="R35" s="1"/>
  <c r="AB34"/>
  <c r="AB35" s="1"/>
  <c r="AC35" s="1"/>
  <c r="AA34"/>
  <c r="AA35" s="1"/>
  <c r="P34"/>
  <c r="N34"/>
  <c r="R34" s="1"/>
  <c r="L34"/>
  <c r="AA33"/>
  <c r="AB33" s="1"/>
  <c r="AC33" s="1"/>
  <c r="P33"/>
  <c r="R33" s="1"/>
  <c r="P32"/>
  <c r="N32"/>
  <c r="L32"/>
  <c r="R32" s="1"/>
  <c r="P31"/>
  <c r="R31" s="1"/>
  <c r="P30"/>
  <c r="L30"/>
  <c r="R30" s="1"/>
  <c r="V29"/>
  <c r="V31" s="1"/>
  <c r="P29"/>
  <c r="N29"/>
  <c r="L29"/>
  <c r="N28"/>
  <c r="L28"/>
  <c r="R28" s="1"/>
  <c r="P27"/>
  <c r="R27" s="1"/>
  <c r="P26"/>
  <c r="N26"/>
  <c r="U25"/>
  <c r="U26" s="1"/>
  <c r="U27" s="1"/>
  <c r="U28" s="1"/>
  <c r="P25"/>
  <c r="L25"/>
  <c r="P24"/>
  <c r="L24"/>
  <c r="R24" s="1"/>
  <c r="P23"/>
  <c r="N23"/>
  <c r="R23" s="1"/>
  <c r="L23"/>
  <c r="R22"/>
  <c r="P22"/>
  <c r="R21"/>
  <c r="P21"/>
  <c r="R20"/>
  <c r="P20"/>
  <c r="P19"/>
  <c r="L19"/>
  <c r="V18"/>
  <c r="X18" s="1"/>
  <c r="P18"/>
  <c r="N18"/>
  <c r="L18"/>
  <c r="U17"/>
  <c r="P17"/>
  <c r="N17"/>
  <c r="L17"/>
  <c r="W16"/>
  <c r="V16"/>
  <c r="P16"/>
  <c r="N16"/>
  <c r="L16"/>
  <c r="P15"/>
  <c r="N15"/>
  <c r="L15"/>
  <c r="P14"/>
  <c r="N14"/>
  <c r="L14"/>
  <c r="P13"/>
  <c r="R13" s="1"/>
  <c r="U12"/>
  <c r="V13" s="1"/>
  <c r="X13" s="1"/>
  <c r="P12"/>
  <c r="R12" s="1"/>
  <c r="V11"/>
  <c r="W11" s="1"/>
  <c r="P11"/>
  <c r="R11" s="1"/>
  <c r="P10"/>
  <c r="N10"/>
  <c r="L10"/>
  <c r="P9"/>
  <c r="N9"/>
  <c r="L9"/>
  <c r="R9" s="1"/>
  <c r="V8"/>
  <c r="X8" s="1"/>
  <c r="P8"/>
  <c r="N8"/>
  <c r="L8"/>
  <c r="R8" s="1"/>
  <c r="U7"/>
  <c r="P7"/>
  <c r="L7"/>
  <c r="V6"/>
  <c r="W6" s="1"/>
  <c r="P6"/>
  <c r="N6"/>
  <c r="L6"/>
  <c r="P5"/>
  <c r="N5"/>
  <c r="L5"/>
  <c r="L43" s="1"/>
  <c r="T3"/>
  <c r="U17" i="57"/>
  <c r="V18" s="1"/>
  <c r="V16"/>
  <c r="W16" s="1"/>
  <c r="U12"/>
  <c r="V13" s="1"/>
  <c r="V11"/>
  <c r="W11" s="1"/>
  <c r="V6"/>
  <c r="W6" s="1"/>
  <c r="P21"/>
  <c r="R21" s="1"/>
  <c r="P36"/>
  <c r="R36" s="1"/>
  <c r="R42" i="60" l="1"/>
  <c r="R44" s="1"/>
  <c r="R33" i="59"/>
  <c r="R15"/>
  <c r="N42"/>
  <c r="R6"/>
  <c r="R7"/>
  <c r="R9"/>
  <c r="R23"/>
  <c r="R26"/>
  <c r="R27"/>
  <c r="AA35"/>
  <c r="R29"/>
  <c r="P42"/>
  <c r="R17"/>
  <c r="R8"/>
  <c r="R10"/>
  <c r="R11"/>
  <c r="R14"/>
  <c r="R16"/>
  <c r="R19"/>
  <c r="R24"/>
  <c r="R25"/>
  <c r="R28"/>
  <c r="R18"/>
  <c r="R38"/>
  <c r="AB35"/>
  <c r="AC35" s="1"/>
  <c r="R5"/>
  <c r="AC34"/>
  <c r="P43" i="58"/>
  <c r="R25"/>
  <c r="R15"/>
  <c r="R17"/>
  <c r="R7"/>
  <c r="R14"/>
  <c r="R16"/>
  <c r="R19"/>
  <c r="R26"/>
  <c r="R29"/>
  <c r="N43"/>
  <c r="R6"/>
  <c r="R10"/>
  <c r="R44" s="1"/>
  <c r="R18"/>
  <c r="R39"/>
  <c r="R5"/>
  <c r="AC34"/>
  <c r="J44" i="57"/>
  <c r="S43"/>
  <c r="Q43"/>
  <c r="O43"/>
  <c r="M43"/>
  <c r="K43"/>
  <c r="P42"/>
  <c r="R42" s="1"/>
  <c r="P41"/>
  <c r="R41" s="1"/>
  <c r="P40"/>
  <c r="N40"/>
  <c r="L40"/>
  <c r="R40" s="1"/>
  <c r="P39"/>
  <c r="N39"/>
  <c r="L39"/>
  <c r="P38"/>
  <c r="N38"/>
  <c r="L38"/>
  <c r="R38" s="1"/>
  <c r="P37"/>
  <c r="R37" s="1"/>
  <c r="P35"/>
  <c r="R35" s="1"/>
  <c r="Z35"/>
  <c r="P34"/>
  <c r="N34"/>
  <c r="L34"/>
  <c r="R34" s="1"/>
  <c r="AA34"/>
  <c r="P33"/>
  <c r="R33" s="1"/>
  <c r="AA33"/>
  <c r="AB33" s="1"/>
  <c r="AC33" s="1"/>
  <c r="P32"/>
  <c r="N32"/>
  <c r="L32"/>
  <c r="P31"/>
  <c r="R31" s="1"/>
  <c r="P30"/>
  <c r="L30"/>
  <c r="P29"/>
  <c r="N29"/>
  <c r="L29"/>
  <c r="V29"/>
  <c r="V31" s="1"/>
  <c r="N28"/>
  <c r="L28"/>
  <c r="P27"/>
  <c r="R27" s="1"/>
  <c r="P26"/>
  <c r="N26"/>
  <c r="P25"/>
  <c r="L25"/>
  <c r="U25"/>
  <c r="U26" s="1"/>
  <c r="U27" s="1"/>
  <c r="U28" s="1"/>
  <c r="P24"/>
  <c r="L24"/>
  <c r="P23"/>
  <c r="N23"/>
  <c r="L23"/>
  <c r="P22"/>
  <c r="R22" s="1"/>
  <c r="P20"/>
  <c r="R20" s="1"/>
  <c r="P19"/>
  <c r="L19"/>
  <c r="P18"/>
  <c r="N18"/>
  <c r="L18"/>
  <c r="P17"/>
  <c r="N17"/>
  <c r="L17"/>
  <c r="R17" s="1"/>
  <c r="P16"/>
  <c r="N16"/>
  <c r="L16"/>
  <c r="P15"/>
  <c r="N15"/>
  <c r="L15"/>
  <c r="X18"/>
  <c r="P14"/>
  <c r="N14"/>
  <c r="L14"/>
  <c r="P13"/>
  <c r="R13" s="1"/>
  <c r="P12"/>
  <c r="R12" s="1"/>
  <c r="X13"/>
  <c r="P11"/>
  <c r="R11" s="1"/>
  <c r="P10"/>
  <c r="N10"/>
  <c r="L10"/>
  <c r="P9"/>
  <c r="N9"/>
  <c r="L9"/>
  <c r="R9" s="1"/>
  <c r="P8"/>
  <c r="N8"/>
  <c r="L8"/>
  <c r="P7"/>
  <c r="L7"/>
  <c r="U7"/>
  <c r="V8" s="1"/>
  <c r="X8" s="1"/>
  <c r="P6"/>
  <c r="N6"/>
  <c r="L6"/>
  <c r="P5"/>
  <c r="N5"/>
  <c r="L5"/>
  <c r="T3"/>
  <c r="R43" i="56"/>
  <c r="J43"/>
  <c r="S42"/>
  <c r="Q42"/>
  <c r="O42"/>
  <c r="M42"/>
  <c r="K42"/>
  <c r="P41"/>
  <c r="R41" s="1"/>
  <c r="P40"/>
  <c r="R40" s="1"/>
  <c r="P39"/>
  <c r="N39"/>
  <c r="L39"/>
  <c r="R39" s="1"/>
  <c r="P38"/>
  <c r="N38"/>
  <c r="L38"/>
  <c r="R38" s="1"/>
  <c r="P37"/>
  <c r="N37"/>
  <c r="L37"/>
  <c r="R37" s="1"/>
  <c r="P36"/>
  <c r="R36" s="1"/>
  <c r="P35"/>
  <c r="R35" s="1"/>
  <c r="Z34"/>
  <c r="P34"/>
  <c r="N34"/>
  <c r="L34"/>
  <c r="R34" s="1"/>
  <c r="AB33"/>
  <c r="AA33"/>
  <c r="AA34" s="1"/>
  <c r="P33"/>
  <c r="R33" s="1"/>
  <c r="AA32"/>
  <c r="AB32" s="1"/>
  <c r="AC32" s="1"/>
  <c r="P32"/>
  <c r="N32"/>
  <c r="L32"/>
  <c r="R32" s="1"/>
  <c r="P31"/>
  <c r="R31" s="1"/>
  <c r="P30"/>
  <c r="L30"/>
  <c r="P29"/>
  <c r="N29"/>
  <c r="L29"/>
  <c r="V28"/>
  <c r="V30" s="1"/>
  <c r="N28"/>
  <c r="L28"/>
  <c r="R28" s="1"/>
  <c r="P27"/>
  <c r="R27" s="1"/>
  <c r="P26"/>
  <c r="N26"/>
  <c r="P25"/>
  <c r="L25"/>
  <c r="U24"/>
  <c r="U25" s="1"/>
  <c r="U26" s="1"/>
  <c r="U27" s="1"/>
  <c r="P24"/>
  <c r="L24"/>
  <c r="P23"/>
  <c r="N23"/>
  <c r="L23"/>
  <c r="R23" s="1"/>
  <c r="P22"/>
  <c r="R22" s="1"/>
  <c r="P21"/>
  <c r="R21" s="1"/>
  <c r="P20"/>
  <c r="L20"/>
  <c r="R20" s="1"/>
  <c r="P19"/>
  <c r="N19"/>
  <c r="L19"/>
  <c r="P18"/>
  <c r="N18"/>
  <c r="L18"/>
  <c r="R18" s="1"/>
  <c r="P17"/>
  <c r="N17"/>
  <c r="L17"/>
  <c r="R17" s="1"/>
  <c r="V16"/>
  <c r="U16"/>
  <c r="P16"/>
  <c r="N16"/>
  <c r="L16"/>
  <c r="R16" s="1"/>
  <c r="U15"/>
  <c r="U17" s="1"/>
  <c r="V18" s="1"/>
  <c r="X18" s="1"/>
  <c r="R15"/>
  <c r="P14"/>
  <c r="N14"/>
  <c r="L14"/>
  <c r="P13"/>
  <c r="R13" s="1"/>
  <c r="P12"/>
  <c r="R12" s="1"/>
  <c r="V11"/>
  <c r="U11" s="1"/>
  <c r="U12" s="1"/>
  <c r="V13" s="1"/>
  <c r="X13" s="1"/>
  <c r="P11"/>
  <c r="R11" s="1"/>
  <c r="P10"/>
  <c r="N10"/>
  <c r="L10"/>
  <c r="P9"/>
  <c r="N9"/>
  <c r="L9"/>
  <c r="P8"/>
  <c r="N8"/>
  <c r="L8"/>
  <c r="P7"/>
  <c r="L7"/>
  <c r="V6"/>
  <c r="U6" s="1"/>
  <c r="U7" s="1"/>
  <c r="V8" s="1"/>
  <c r="X8" s="1"/>
  <c r="P6"/>
  <c r="N6"/>
  <c r="L6"/>
  <c r="P5"/>
  <c r="N5"/>
  <c r="N42" s="1"/>
  <c r="L5"/>
  <c r="L42" s="1"/>
  <c r="T3"/>
  <c r="R43" i="55"/>
  <c r="R42" i="59" l="1"/>
  <c r="R44" s="1"/>
  <c r="R43" i="58"/>
  <c r="R45" s="1"/>
  <c r="N43" i="57"/>
  <c r="R6"/>
  <c r="R28"/>
  <c r="AA35"/>
  <c r="L43"/>
  <c r="R8"/>
  <c r="R10"/>
  <c r="R18"/>
  <c r="R23"/>
  <c r="R24"/>
  <c r="R29"/>
  <c r="R32"/>
  <c r="AB34"/>
  <c r="AB35" s="1"/>
  <c r="AC35" s="1"/>
  <c r="R39"/>
  <c r="R14"/>
  <c r="P43"/>
  <c r="R7"/>
  <c r="R15"/>
  <c r="R16"/>
  <c r="R19"/>
  <c r="R25"/>
  <c r="R26"/>
  <c r="R30"/>
  <c r="R5"/>
  <c r="AC34"/>
  <c r="R29" i="56"/>
  <c r="R26"/>
  <c r="R25"/>
  <c r="R19"/>
  <c r="R14"/>
  <c r="R9"/>
  <c r="R7"/>
  <c r="P42"/>
  <c r="R6"/>
  <c r="R8"/>
  <c r="R10"/>
  <c r="R24"/>
  <c r="R30"/>
  <c r="AB34"/>
  <c r="AC34" s="1"/>
  <c r="R5"/>
  <c r="AC33"/>
  <c r="J43" i="55"/>
  <c r="S42"/>
  <c r="Q42"/>
  <c r="O42"/>
  <c r="M42"/>
  <c r="K42"/>
  <c r="P41"/>
  <c r="R41" s="1"/>
  <c r="P40"/>
  <c r="R40" s="1"/>
  <c r="P39"/>
  <c r="N39"/>
  <c r="L39"/>
  <c r="P38"/>
  <c r="N38"/>
  <c r="L38"/>
  <c r="R38" s="1"/>
  <c r="P37"/>
  <c r="N37"/>
  <c r="L37"/>
  <c r="P36"/>
  <c r="R36" s="1"/>
  <c r="P35"/>
  <c r="R35" s="1"/>
  <c r="Z34"/>
  <c r="P34"/>
  <c r="N34"/>
  <c r="L34"/>
  <c r="AB33"/>
  <c r="AA33"/>
  <c r="AA34" s="1"/>
  <c r="P33"/>
  <c r="R33" s="1"/>
  <c r="AA32"/>
  <c r="AB32" s="1"/>
  <c r="AC32" s="1"/>
  <c r="P32"/>
  <c r="N32"/>
  <c r="L32"/>
  <c r="R32" s="1"/>
  <c r="P31"/>
  <c r="R31" s="1"/>
  <c r="P30"/>
  <c r="L30"/>
  <c r="P29"/>
  <c r="N29"/>
  <c r="L29"/>
  <c r="R29" s="1"/>
  <c r="V28"/>
  <c r="V30" s="1"/>
  <c r="N28"/>
  <c r="L28"/>
  <c r="R27"/>
  <c r="P27"/>
  <c r="P26"/>
  <c r="N26"/>
  <c r="P25"/>
  <c r="L25"/>
  <c r="U24"/>
  <c r="U25" s="1"/>
  <c r="U26" s="1"/>
  <c r="U27" s="1"/>
  <c r="P24"/>
  <c r="L24"/>
  <c r="R24" s="1"/>
  <c r="P23"/>
  <c r="N23"/>
  <c r="R23" s="1"/>
  <c r="L23"/>
  <c r="P22"/>
  <c r="R22" s="1"/>
  <c r="P21"/>
  <c r="R21" s="1"/>
  <c r="P20"/>
  <c r="L20"/>
  <c r="P19"/>
  <c r="N19"/>
  <c r="L19"/>
  <c r="P18"/>
  <c r="N18"/>
  <c r="L18"/>
  <c r="P17"/>
  <c r="N17"/>
  <c r="L17"/>
  <c r="V16"/>
  <c r="U16" s="1"/>
  <c r="P16"/>
  <c r="N16"/>
  <c r="L16"/>
  <c r="U15"/>
  <c r="U17" s="1"/>
  <c r="V18" s="1"/>
  <c r="X18" s="1"/>
  <c r="R15"/>
  <c r="P14"/>
  <c r="N14"/>
  <c r="L14"/>
  <c r="P13"/>
  <c r="R13" s="1"/>
  <c r="P12"/>
  <c r="R12" s="1"/>
  <c r="V11"/>
  <c r="U11" s="1"/>
  <c r="U12" s="1"/>
  <c r="V13" s="1"/>
  <c r="X13" s="1"/>
  <c r="P11"/>
  <c r="R11" s="1"/>
  <c r="P10"/>
  <c r="N10"/>
  <c r="L10"/>
  <c r="P9"/>
  <c r="N9"/>
  <c r="L9"/>
  <c r="P8"/>
  <c r="N8"/>
  <c r="L8"/>
  <c r="R8" s="1"/>
  <c r="P7"/>
  <c r="L7"/>
  <c r="V6"/>
  <c r="U6"/>
  <c r="U7" s="1"/>
  <c r="V8" s="1"/>
  <c r="X8" s="1"/>
  <c r="P6"/>
  <c r="N6"/>
  <c r="L6"/>
  <c r="P5"/>
  <c r="N5"/>
  <c r="L5"/>
  <c r="L42" s="1"/>
  <c r="T3"/>
  <c r="AC34" i="54"/>
  <c r="AC33"/>
  <c r="AC32"/>
  <c r="AB34"/>
  <c r="AA34"/>
  <c r="Z34"/>
  <c r="AB33"/>
  <c r="AA33"/>
  <c r="AB32"/>
  <c r="AA32"/>
  <c r="R44" i="57" l="1"/>
  <c r="R43"/>
  <c r="R45" s="1"/>
  <c r="R42" i="56"/>
  <c r="R6" i="55"/>
  <c r="R9"/>
  <c r="R14"/>
  <c r="R18"/>
  <c r="R28"/>
  <c r="R34"/>
  <c r="R37"/>
  <c r="R39"/>
  <c r="R19"/>
  <c r="N42"/>
  <c r="R10"/>
  <c r="P42"/>
  <c r="R7"/>
  <c r="R16"/>
  <c r="R17"/>
  <c r="R20"/>
  <c r="R25"/>
  <c r="R26"/>
  <c r="R30"/>
  <c r="AB34"/>
  <c r="AC34" s="1"/>
  <c r="R5"/>
  <c r="AC33"/>
  <c r="J43" i="54"/>
  <c r="S42"/>
  <c r="Q42"/>
  <c r="O42"/>
  <c r="M42"/>
  <c r="K42"/>
  <c r="P41"/>
  <c r="R41" s="1"/>
  <c r="P40"/>
  <c r="R40" s="1"/>
  <c r="P39"/>
  <c r="N39"/>
  <c r="L39"/>
  <c r="R39" s="1"/>
  <c r="P38"/>
  <c r="N38"/>
  <c r="L38"/>
  <c r="P37"/>
  <c r="N37"/>
  <c r="L37"/>
  <c r="R37" s="1"/>
  <c r="P36"/>
  <c r="R36" s="1"/>
  <c r="P35"/>
  <c r="R35" s="1"/>
  <c r="P34"/>
  <c r="N34"/>
  <c r="L34"/>
  <c r="P33"/>
  <c r="R33" s="1"/>
  <c r="P32"/>
  <c r="N32"/>
  <c r="L32"/>
  <c r="P31"/>
  <c r="R31" s="1"/>
  <c r="P30"/>
  <c r="L30"/>
  <c r="R30" s="1"/>
  <c r="P29"/>
  <c r="N29"/>
  <c r="L29"/>
  <c r="V28"/>
  <c r="V30" s="1"/>
  <c r="N28"/>
  <c r="L28"/>
  <c r="R28" s="1"/>
  <c r="P27"/>
  <c r="R27" s="1"/>
  <c r="P26"/>
  <c r="N26"/>
  <c r="P25"/>
  <c r="L25"/>
  <c r="U24"/>
  <c r="U25" s="1"/>
  <c r="U26" s="1"/>
  <c r="U27" s="1"/>
  <c r="P24"/>
  <c r="L24"/>
  <c r="P23"/>
  <c r="N23"/>
  <c r="L23"/>
  <c r="P22"/>
  <c r="R22" s="1"/>
  <c r="P21"/>
  <c r="R21" s="1"/>
  <c r="P20"/>
  <c r="L20"/>
  <c r="R20" s="1"/>
  <c r="P19"/>
  <c r="N19"/>
  <c r="L19"/>
  <c r="P18"/>
  <c r="N18"/>
  <c r="L18"/>
  <c r="R18" s="1"/>
  <c r="P17"/>
  <c r="N17"/>
  <c r="R17" s="1"/>
  <c r="L17"/>
  <c r="V16"/>
  <c r="U16" s="1"/>
  <c r="P16"/>
  <c r="N16"/>
  <c r="L16"/>
  <c r="U15"/>
  <c r="U17" s="1"/>
  <c r="V18" s="1"/>
  <c r="X18" s="1"/>
  <c r="R15"/>
  <c r="P14"/>
  <c r="N14"/>
  <c r="L14"/>
  <c r="P13"/>
  <c r="R13" s="1"/>
  <c r="P12"/>
  <c r="R12" s="1"/>
  <c r="V11"/>
  <c r="U11"/>
  <c r="U12" s="1"/>
  <c r="V13" s="1"/>
  <c r="X13" s="1"/>
  <c r="P11"/>
  <c r="R11" s="1"/>
  <c r="P10"/>
  <c r="N10"/>
  <c r="L10"/>
  <c r="P9"/>
  <c r="N9"/>
  <c r="L9"/>
  <c r="R9" s="1"/>
  <c r="P8"/>
  <c r="N8"/>
  <c r="L8"/>
  <c r="P7"/>
  <c r="L7"/>
  <c r="V6"/>
  <c r="U6"/>
  <c r="U7" s="1"/>
  <c r="V8" s="1"/>
  <c r="X8" s="1"/>
  <c r="P6"/>
  <c r="N6"/>
  <c r="L6"/>
  <c r="R6" s="1"/>
  <c r="P5"/>
  <c r="N5"/>
  <c r="N42" s="1"/>
  <c r="L5"/>
  <c r="L42" s="1"/>
  <c r="T3"/>
  <c r="P27" i="53"/>
  <c r="R27" s="1"/>
  <c r="J43"/>
  <c r="S42"/>
  <c r="Q42"/>
  <c r="O42"/>
  <c r="M42"/>
  <c r="K42"/>
  <c r="P41"/>
  <c r="R41" s="1"/>
  <c r="P40"/>
  <c r="R40" s="1"/>
  <c r="P39"/>
  <c r="N39"/>
  <c r="L39"/>
  <c r="R39" s="1"/>
  <c r="P38"/>
  <c r="N38"/>
  <c r="L38"/>
  <c r="P37"/>
  <c r="N37"/>
  <c r="L37"/>
  <c r="P36"/>
  <c r="R36" s="1"/>
  <c r="P35"/>
  <c r="R35" s="1"/>
  <c r="P34"/>
  <c r="N34"/>
  <c r="L34"/>
  <c r="P33"/>
  <c r="R33" s="1"/>
  <c r="P32"/>
  <c r="N32"/>
  <c r="L32"/>
  <c r="P31"/>
  <c r="R31" s="1"/>
  <c r="P30"/>
  <c r="L30"/>
  <c r="R30" s="1"/>
  <c r="V28"/>
  <c r="V30" s="1"/>
  <c r="P29"/>
  <c r="N29"/>
  <c r="L29"/>
  <c r="R29" s="1"/>
  <c r="N28"/>
  <c r="L28"/>
  <c r="R28" s="1"/>
  <c r="P26"/>
  <c r="N26"/>
  <c r="P25"/>
  <c r="L25"/>
  <c r="U24"/>
  <c r="U25" s="1"/>
  <c r="U26" s="1"/>
  <c r="U27" s="1"/>
  <c r="P24"/>
  <c r="L24"/>
  <c r="P23"/>
  <c r="N23"/>
  <c r="L23"/>
  <c r="P22"/>
  <c r="R22" s="1"/>
  <c r="P21"/>
  <c r="R21" s="1"/>
  <c r="P20"/>
  <c r="L20"/>
  <c r="R20" s="1"/>
  <c r="P19"/>
  <c r="N19"/>
  <c r="L19"/>
  <c r="P18"/>
  <c r="N18"/>
  <c r="L18"/>
  <c r="R18" s="1"/>
  <c r="P17"/>
  <c r="N17"/>
  <c r="R17" s="1"/>
  <c r="L17"/>
  <c r="V16"/>
  <c r="U16" s="1"/>
  <c r="P16"/>
  <c r="N16"/>
  <c r="L16"/>
  <c r="U15"/>
  <c r="U17" s="1"/>
  <c r="V18" s="1"/>
  <c r="X18" s="1"/>
  <c r="R15"/>
  <c r="P14"/>
  <c r="N14"/>
  <c r="L14"/>
  <c r="P13"/>
  <c r="R13" s="1"/>
  <c r="P12"/>
  <c r="R12" s="1"/>
  <c r="V11"/>
  <c r="U11"/>
  <c r="U12" s="1"/>
  <c r="V13" s="1"/>
  <c r="X13" s="1"/>
  <c r="P11"/>
  <c r="R11" s="1"/>
  <c r="P10"/>
  <c r="N10"/>
  <c r="L10"/>
  <c r="R10" s="1"/>
  <c r="P9"/>
  <c r="N9"/>
  <c r="L9"/>
  <c r="P8"/>
  <c r="N8"/>
  <c r="L8"/>
  <c r="R8" s="1"/>
  <c r="P7"/>
  <c r="L7"/>
  <c r="V6"/>
  <c r="U6" s="1"/>
  <c r="U7" s="1"/>
  <c r="V8" s="1"/>
  <c r="X8" s="1"/>
  <c r="P6"/>
  <c r="N6"/>
  <c r="L6"/>
  <c r="P5"/>
  <c r="N5"/>
  <c r="L5"/>
  <c r="T3"/>
  <c r="R43" i="52"/>
  <c r="L39"/>
  <c r="N39"/>
  <c r="P39"/>
  <c r="R39" s="1"/>
  <c r="R44" i="56" l="1"/>
  <c r="R42" i="55"/>
  <c r="R44" s="1"/>
  <c r="R26" i="54"/>
  <c r="R25"/>
  <c r="R16"/>
  <c r="P42"/>
  <c r="R7"/>
  <c r="R14"/>
  <c r="R23"/>
  <c r="R24"/>
  <c r="R8"/>
  <c r="R10"/>
  <c r="R19"/>
  <c r="R29"/>
  <c r="R32"/>
  <c r="R34"/>
  <c r="R38"/>
  <c r="R43"/>
  <c r="R5"/>
  <c r="R23" i="53"/>
  <c r="R43" s="1"/>
  <c r="R32"/>
  <c r="R34"/>
  <c r="R16"/>
  <c r="R5"/>
  <c r="L42"/>
  <c r="R9"/>
  <c r="R19"/>
  <c r="R37"/>
  <c r="R38"/>
  <c r="R24"/>
  <c r="P42"/>
  <c r="R6"/>
  <c r="R7"/>
  <c r="R14"/>
  <c r="R25"/>
  <c r="R26"/>
  <c r="N42"/>
  <c r="J43" i="52"/>
  <c r="S42"/>
  <c r="Q42"/>
  <c r="O42"/>
  <c r="M42"/>
  <c r="K42"/>
  <c r="P41"/>
  <c r="R41" s="1"/>
  <c r="P40"/>
  <c r="R40" s="1"/>
  <c r="P38"/>
  <c r="N38"/>
  <c r="L38"/>
  <c r="P37"/>
  <c r="N37"/>
  <c r="L37"/>
  <c r="R37" s="1"/>
  <c r="P36"/>
  <c r="N36"/>
  <c r="L36"/>
  <c r="P35"/>
  <c r="R35" s="1"/>
  <c r="P34"/>
  <c r="R34" s="1"/>
  <c r="P33"/>
  <c r="N33"/>
  <c r="L33"/>
  <c r="R33" s="1"/>
  <c r="P32"/>
  <c r="R32" s="1"/>
  <c r="P31"/>
  <c r="N31"/>
  <c r="L31"/>
  <c r="R31" s="1"/>
  <c r="P30"/>
  <c r="R30" s="1"/>
  <c r="P29"/>
  <c r="N29"/>
  <c r="R29" s="1"/>
  <c r="L29"/>
  <c r="V28"/>
  <c r="V30" s="1"/>
  <c r="P28"/>
  <c r="N28"/>
  <c r="L28"/>
  <c r="N27"/>
  <c r="L27"/>
  <c r="P26"/>
  <c r="N26"/>
  <c r="P25"/>
  <c r="N25"/>
  <c r="L25"/>
  <c r="U24"/>
  <c r="U25" s="1"/>
  <c r="U26" s="1"/>
  <c r="U27" s="1"/>
  <c r="P24"/>
  <c r="N24"/>
  <c r="L24"/>
  <c r="R24" s="1"/>
  <c r="P23"/>
  <c r="N23"/>
  <c r="L23"/>
  <c r="P22"/>
  <c r="R22" s="1"/>
  <c r="P21"/>
  <c r="R21" s="1"/>
  <c r="P20"/>
  <c r="N20"/>
  <c r="L20"/>
  <c r="R20" s="1"/>
  <c r="P19"/>
  <c r="N19"/>
  <c r="L19"/>
  <c r="P18"/>
  <c r="N18"/>
  <c r="L18"/>
  <c r="R18" s="1"/>
  <c r="P17"/>
  <c r="N17"/>
  <c r="L17"/>
  <c r="V16"/>
  <c r="U16" s="1"/>
  <c r="P16"/>
  <c r="N16"/>
  <c r="L16"/>
  <c r="U15"/>
  <c r="U17" s="1"/>
  <c r="V18" s="1"/>
  <c r="X18" s="1"/>
  <c r="R15"/>
  <c r="P14"/>
  <c r="N14"/>
  <c r="L14"/>
  <c r="P13"/>
  <c r="R13" s="1"/>
  <c r="P12"/>
  <c r="R12" s="1"/>
  <c r="V11"/>
  <c r="U11"/>
  <c r="U12" s="1"/>
  <c r="V13" s="1"/>
  <c r="X13" s="1"/>
  <c r="P11"/>
  <c r="R11" s="1"/>
  <c r="P10"/>
  <c r="N10"/>
  <c r="L10"/>
  <c r="P9"/>
  <c r="N9"/>
  <c r="L9"/>
  <c r="R9" s="1"/>
  <c r="P8"/>
  <c r="N8"/>
  <c r="L8"/>
  <c r="P7"/>
  <c r="N7"/>
  <c r="L7"/>
  <c r="V6"/>
  <c r="U6" s="1"/>
  <c r="U7" s="1"/>
  <c r="V8" s="1"/>
  <c r="X8" s="1"/>
  <c r="P6"/>
  <c r="N6"/>
  <c r="L6"/>
  <c r="P5"/>
  <c r="N5"/>
  <c r="N42" s="1"/>
  <c r="L5"/>
  <c r="L42" s="1"/>
  <c r="T3"/>
  <c r="R43" i="51"/>
  <c r="R8"/>
  <c r="N24"/>
  <c r="N29"/>
  <c r="N26"/>
  <c r="L24"/>
  <c r="L29"/>
  <c r="L20"/>
  <c r="R42" i="54" l="1"/>
  <c r="R44" s="1"/>
  <c r="R42" i="53"/>
  <c r="R44" s="1"/>
  <c r="R16" i="52"/>
  <c r="R17"/>
  <c r="P42"/>
  <c r="R26"/>
  <c r="R8"/>
  <c r="R10"/>
  <c r="R19"/>
  <c r="R23"/>
  <c r="R27"/>
  <c r="R28"/>
  <c r="R36"/>
  <c r="R38"/>
  <c r="R6"/>
  <c r="R7"/>
  <c r="R14"/>
  <c r="R25"/>
  <c r="R5"/>
  <c r="K42" i="51"/>
  <c r="L39"/>
  <c r="L38"/>
  <c r="L37"/>
  <c r="L36"/>
  <c r="L33"/>
  <c r="L31"/>
  <c r="L28"/>
  <c r="L27"/>
  <c r="L25"/>
  <c r="L23"/>
  <c r="L19"/>
  <c r="L18"/>
  <c r="L17"/>
  <c r="L16"/>
  <c r="L14"/>
  <c r="L10"/>
  <c r="L9"/>
  <c r="L8"/>
  <c r="L7"/>
  <c r="L6"/>
  <c r="L5"/>
  <c r="J43"/>
  <c r="S42"/>
  <c r="Q42"/>
  <c r="O42"/>
  <c r="M42"/>
  <c r="P41"/>
  <c r="R41" s="1"/>
  <c r="P40"/>
  <c r="R40" s="1"/>
  <c r="P39"/>
  <c r="N39"/>
  <c r="P38"/>
  <c r="N38"/>
  <c r="P37"/>
  <c r="N37"/>
  <c r="P36"/>
  <c r="N36"/>
  <c r="P35"/>
  <c r="R35" s="1"/>
  <c r="P34"/>
  <c r="R34" s="1"/>
  <c r="P33"/>
  <c r="N33"/>
  <c r="P32"/>
  <c r="R32" s="1"/>
  <c r="P31"/>
  <c r="N31"/>
  <c r="P30"/>
  <c r="R30" s="1"/>
  <c r="P29"/>
  <c r="R29" s="1"/>
  <c r="V28"/>
  <c r="V30" s="1"/>
  <c r="P28"/>
  <c r="N28"/>
  <c r="N27"/>
  <c r="R27" s="1"/>
  <c r="P26"/>
  <c r="R26" s="1"/>
  <c r="P25"/>
  <c r="N25"/>
  <c r="U24"/>
  <c r="U25" s="1"/>
  <c r="U26" s="1"/>
  <c r="U27" s="1"/>
  <c r="P24"/>
  <c r="R24" s="1"/>
  <c r="P23"/>
  <c r="N23"/>
  <c r="P22"/>
  <c r="P21"/>
  <c r="R21" s="1"/>
  <c r="P20"/>
  <c r="N20"/>
  <c r="P19"/>
  <c r="N19"/>
  <c r="P18"/>
  <c r="N18"/>
  <c r="P17"/>
  <c r="N17"/>
  <c r="V16"/>
  <c r="U16" s="1"/>
  <c r="P16"/>
  <c r="N16"/>
  <c r="U15"/>
  <c r="R15"/>
  <c r="P14"/>
  <c r="N14"/>
  <c r="P13"/>
  <c r="P12"/>
  <c r="R12" s="1"/>
  <c r="V11"/>
  <c r="U11" s="1"/>
  <c r="U12" s="1"/>
  <c r="V13" s="1"/>
  <c r="X13" s="1"/>
  <c r="P11"/>
  <c r="R11" s="1"/>
  <c r="P10"/>
  <c r="N10"/>
  <c r="R10" s="1"/>
  <c r="P9"/>
  <c r="N9"/>
  <c r="R9" s="1"/>
  <c r="P8"/>
  <c r="N8"/>
  <c r="P7"/>
  <c r="N7"/>
  <c r="R7" s="1"/>
  <c r="V6"/>
  <c r="U6"/>
  <c r="U7" s="1"/>
  <c r="V8" s="1"/>
  <c r="X8" s="1"/>
  <c r="P6"/>
  <c r="N6"/>
  <c r="R6" s="1"/>
  <c r="P5"/>
  <c r="N5"/>
  <c r="R5" s="1"/>
  <c r="T3"/>
  <c r="V38" i="50"/>
  <c r="V37"/>
  <c r="J44"/>
  <c r="S43"/>
  <c r="Q43"/>
  <c r="O43"/>
  <c r="M43"/>
  <c r="L43"/>
  <c r="K43"/>
  <c r="P42"/>
  <c r="R42" s="1"/>
  <c r="P41"/>
  <c r="R41" s="1"/>
  <c r="P40"/>
  <c r="N40"/>
  <c r="R40" s="1"/>
  <c r="P39"/>
  <c r="N39"/>
  <c r="R39" s="1"/>
  <c r="P38"/>
  <c r="R38" s="1"/>
  <c r="P37"/>
  <c r="N37"/>
  <c r="P36"/>
  <c r="N36"/>
  <c r="P35"/>
  <c r="R35" s="1"/>
  <c r="P34"/>
  <c r="R34" s="1"/>
  <c r="P33"/>
  <c r="N33"/>
  <c r="P32"/>
  <c r="R32" s="1"/>
  <c r="P31"/>
  <c r="N31"/>
  <c r="P30"/>
  <c r="R30" s="1"/>
  <c r="R29"/>
  <c r="P29"/>
  <c r="V28"/>
  <c r="V30" s="1"/>
  <c r="P28"/>
  <c r="N28"/>
  <c r="N27"/>
  <c r="R27" s="1"/>
  <c r="R26"/>
  <c r="P26"/>
  <c r="P25"/>
  <c r="N25"/>
  <c r="U24"/>
  <c r="U25" s="1"/>
  <c r="U26" s="1"/>
  <c r="U27" s="1"/>
  <c r="P24"/>
  <c r="R24" s="1"/>
  <c r="P23"/>
  <c r="N23"/>
  <c r="P22"/>
  <c r="N22"/>
  <c r="P21"/>
  <c r="R21" s="1"/>
  <c r="P20"/>
  <c r="N20"/>
  <c r="R20" s="1"/>
  <c r="P19"/>
  <c r="N19"/>
  <c r="P18"/>
  <c r="N18"/>
  <c r="P17"/>
  <c r="N17"/>
  <c r="V16"/>
  <c r="U16" s="1"/>
  <c r="U17" s="1"/>
  <c r="V18" s="1"/>
  <c r="X18" s="1"/>
  <c r="P16"/>
  <c r="N16"/>
  <c r="U15"/>
  <c r="R15"/>
  <c r="P14"/>
  <c r="N14"/>
  <c r="P13"/>
  <c r="N13"/>
  <c r="P12"/>
  <c r="R12" s="1"/>
  <c r="V11"/>
  <c r="U11" s="1"/>
  <c r="U12" s="1"/>
  <c r="V13" s="1"/>
  <c r="X13" s="1"/>
  <c r="P11"/>
  <c r="R11" s="1"/>
  <c r="P10"/>
  <c r="N10"/>
  <c r="R10" s="1"/>
  <c r="P9"/>
  <c r="N9"/>
  <c r="P8"/>
  <c r="N8"/>
  <c r="P7"/>
  <c r="N7"/>
  <c r="V6"/>
  <c r="U6"/>
  <c r="U7" s="1"/>
  <c r="V8" s="1"/>
  <c r="X8" s="1"/>
  <c r="P6"/>
  <c r="N6"/>
  <c r="R6" s="1"/>
  <c r="P5"/>
  <c r="N5"/>
  <c r="N43" s="1"/>
  <c r="T3"/>
  <c r="R44" i="49"/>
  <c r="P32"/>
  <c r="R32" s="1"/>
  <c r="J44"/>
  <c r="S43"/>
  <c r="Q43"/>
  <c r="O43"/>
  <c r="M43"/>
  <c r="L43"/>
  <c r="K43"/>
  <c r="P42"/>
  <c r="R42" s="1"/>
  <c r="P41"/>
  <c r="R41" s="1"/>
  <c r="P40"/>
  <c r="N40"/>
  <c r="R40" s="1"/>
  <c r="P39"/>
  <c r="N39"/>
  <c r="R39" s="1"/>
  <c r="P38"/>
  <c r="R38" s="1"/>
  <c r="V37"/>
  <c r="P37"/>
  <c r="N37"/>
  <c r="P36"/>
  <c r="N36"/>
  <c r="R36" s="1"/>
  <c r="P35"/>
  <c r="R35" s="1"/>
  <c r="P34"/>
  <c r="R34" s="1"/>
  <c r="P33"/>
  <c r="N33"/>
  <c r="P31"/>
  <c r="N31"/>
  <c r="R31" s="1"/>
  <c r="P30"/>
  <c r="R30" s="1"/>
  <c r="P29"/>
  <c r="R29" s="1"/>
  <c r="V28"/>
  <c r="V30" s="1"/>
  <c r="P28"/>
  <c r="N28"/>
  <c r="R27"/>
  <c r="N27"/>
  <c r="P26"/>
  <c r="R26" s="1"/>
  <c r="P25"/>
  <c r="N25"/>
  <c r="R25" s="1"/>
  <c r="U24"/>
  <c r="U25" s="1"/>
  <c r="U26" s="1"/>
  <c r="U27" s="1"/>
  <c r="R24"/>
  <c r="P24"/>
  <c r="P23"/>
  <c r="N23"/>
  <c r="P22"/>
  <c r="N22"/>
  <c r="P21"/>
  <c r="R21" s="1"/>
  <c r="P20"/>
  <c r="N20"/>
  <c r="P19"/>
  <c r="N19"/>
  <c r="P18"/>
  <c r="N18"/>
  <c r="P17"/>
  <c r="N17"/>
  <c r="V16"/>
  <c r="U16" s="1"/>
  <c r="P16"/>
  <c r="N16"/>
  <c r="U15"/>
  <c r="U17" s="1"/>
  <c r="V18" s="1"/>
  <c r="X18" s="1"/>
  <c r="R15"/>
  <c r="P14"/>
  <c r="N14"/>
  <c r="P13"/>
  <c r="N13"/>
  <c r="P12"/>
  <c r="R12" s="1"/>
  <c r="V11"/>
  <c r="U11"/>
  <c r="U12" s="1"/>
  <c r="V13" s="1"/>
  <c r="X13" s="1"/>
  <c r="P11"/>
  <c r="R11" s="1"/>
  <c r="P10"/>
  <c r="N10"/>
  <c r="R10" s="1"/>
  <c r="P9"/>
  <c r="N9"/>
  <c r="R9" s="1"/>
  <c r="P8"/>
  <c r="N8"/>
  <c r="R8" s="1"/>
  <c r="P7"/>
  <c r="N7"/>
  <c r="V6"/>
  <c r="U6" s="1"/>
  <c r="U7" s="1"/>
  <c r="V8" s="1"/>
  <c r="X8" s="1"/>
  <c r="P6"/>
  <c r="N6"/>
  <c r="P5"/>
  <c r="N5"/>
  <c r="N43" s="1"/>
  <c r="T3"/>
  <c r="R25" i="48"/>
  <c r="R12"/>
  <c r="J43"/>
  <c r="S42"/>
  <c r="Q42"/>
  <c r="O42"/>
  <c r="M42"/>
  <c r="L42"/>
  <c r="K42"/>
  <c r="P41"/>
  <c r="R41" s="1"/>
  <c r="P40"/>
  <c r="R40" s="1"/>
  <c r="P39"/>
  <c r="N39"/>
  <c r="R39" s="1"/>
  <c r="P38"/>
  <c r="N38"/>
  <c r="R38" s="1"/>
  <c r="P37"/>
  <c r="R37" s="1"/>
  <c r="V36"/>
  <c r="P36"/>
  <c r="N36"/>
  <c r="P35"/>
  <c r="N35"/>
  <c r="R35" s="1"/>
  <c r="P34"/>
  <c r="R34" s="1"/>
  <c r="P33"/>
  <c r="R33" s="1"/>
  <c r="P32"/>
  <c r="N32"/>
  <c r="P31"/>
  <c r="N31"/>
  <c r="P30"/>
  <c r="R30" s="1"/>
  <c r="P29"/>
  <c r="R29" s="1"/>
  <c r="V28"/>
  <c r="V30" s="1"/>
  <c r="P28"/>
  <c r="N28"/>
  <c r="N27"/>
  <c r="R27" s="1"/>
  <c r="P26"/>
  <c r="R26" s="1"/>
  <c r="P25"/>
  <c r="N25"/>
  <c r="U24"/>
  <c r="U25" s="1"/>
  <c r="U26" s="1"/>
  <c r="U27" s="1"/>
  <c r="P24"/>
  <c r="R24" s="1"/>
  <c r="P23"/>
  <c r="N23"/>
  <c r="P22"/>
  <c r="N22"/>
  <c r="P21"/>
  <c r="R21" s="1"/>
  <c r="P20"/>
  <c r="N20"/>
  <c r="P19"/>
  <c r="N19"/>
  <c r="P18"/>
  <c r="N18"/>
  <c r="P17"/>
  <c r="N17"/>
  <c r="V16"/>
  <c r="U16" s="1"/>
  <c r="U17" s="1"/>
  <c r="V18" s="1"/>
  <c r="X18" s="1"/>
  <c r="P16"/>
  <c r="N16"/>
  <c r="R16" s="1"/>
  <c r="U15"/>
  <c r="R15"/>
  <c r="P14"/>
  <c r="N14"/>
  <c r="P13"/>
  <c r="N13"/>
  <c r="P12"/>
  <c r="V11"/>
  <c r="U11" s="1"/>
  <c r="U12" s="1"/>
  <c r="V13" s="1"/>
  <c r="X13" s="1"/>
  <c r="P11"/>
  <c r="R11" s="1"/>
  <c r="P10"/>
  <c r="N10"/>
  <c r="P9"/>
  <c r="N9"/>
  <c r="P8"/>
  <c r="N8"/>
  <c r="P7"/>
  <c r="N7"/>
  <c r="V6"/>
  <c r="U6"/>
  <c r="U7" s="1"/>
  <c r="V8" s="1"/>
  <c r="X8" s="1"/>
  <c r="P6"/>
  <c r="N6"/>
  <c r="P5"/>
  <c r="N5"/>
  <c r="N42" s="1"/>
  <c r="T3"/>
  <c r="R43" i="47"/>
  <c r="K42"/>
  <c r="L42"/>
  <c r="J43"/>
  <c r="S42"/>
  <c r="Q42"/>
  <c r="O42"/>
  <c r="M42"/>
  <c r="P41"/>
  <c r="P40"/>
  <c r="R40" s="1"/>
  <c r="P39"/>
  <c r="N39"/>
  <c r="P38"/>
  <c r="N38"/>
  <c r="P37"/>
  <c r="R37" s="1"/>
  <c r="P36"/>
  <c r="N36"/>
  <c r="V36"/>
  <c r="P35"/>
  <c r="N35"/>
  <c r="P34"/>
  <c r="R34" s="1"/>
  <c r="P33"/>
  <c r="R33" s="1"/>
  <c r="P32"/>
  <c r="N32"/>
  <c r="R32" s="1"/>
  <c r="P31"/>
  <c r="N31"/>
  <c r="P30"/>
  <c r="R30" s="1"/>
  <c r="P29"/>
  <c r="R29" s="1"/>
  <c r="P28"/>
  <c r="N28"/>
  <c r="V28"/>
  <c r="V30" s="1"/>
  <c r="N27"/>
  <c r="P26"/>
  <c r="P25"/>
  <c r="N25"/>
  <c r="P24"/>
  <c r="R24" s="1"/>
  <c r="U24"/>
  <c r="U25" s="1"/>
  <c r="U26" s="1"/>
  <c r="U27" s="1"/>
  <c r="P23"/>
  <c r="N23"/>
  <c r="R23" s="1"/>
  <c r="P22"/>
  <c r="N22"/>
  <c r="P21"/>
  <c r="R21" s="1"/>
  <c r="P20"/>
  <c r="N20"/>
  <c r="P19"/>
  <c r="N19"/>
  <c r="P18"/>
  <c r="N18"/>
  <c r="P17"/>
  <c r="N17"/>
  <c r="P16"/>
  <c r="N16"/>
  <c r="V16"/>
  <c r="U16" s="1"/>
  <c r="R15"/>
  <c r="U15"/>
  <c r="U17" s="1"/>
  <c r="V18" s="1"/>
  <c r="X18" s="1"/>
  <c r="P14"/>
  <c r="N14"/>
  <c r="P13"/>
  <c r="N13"/>
  <c r="P12"/>
  <c r="V11"/>
  <c r="U11" s="1"/>
  <c r="U12" s="1"/>
  <c r="V13" s="1"/>
  <c r="X13" s="1"/>
  <c r="P11"/>
  <c r="R11" s="1"/>
  <c r="P10"/>
  <c r="N10"/>
  <c r="P9"/>
  <c r="N9"/>
  <c r="P8"/>
  <c r="N8"/>
  <c r="P7"/>
  <c r="N7"/>
  <c r="V6"/>
  <c r="U6" s="1"/>
  <c r="U7" s="1"/>
  <c r="V8" s="1"/>
  <c r="X8" s="1"/>
  <c r="P6"/>
  <c r="N6"/>
  <c r="P5"/>
  <c r="N5"/>
  <c r="T3"/>
  <c r="R44" i="46"/>
  <c r="J44"/>
  <c r="S43"/>
  <c r="Q43"/>
  <c r="O43"/>
  <c r="M43"/>
  <c r="K43"/>
  <c r="P42"/>
  <c r="L42"/>
  <c r="R42" s="1"/>
  <c r="P41"/>
  <c r="R41" s="1"/>
  <c r="P40"/>
  <c r="N40"/>
  <c r="R40" s="1"/>
  <c r="P39"/>
  <c r="N39"/>
  <c r="R39" s="1"/>
  <c r="P38"/>
  <c r="R38" s="1"/>
  <c r="P37"/>
  <c r="N37"/>
  <c r="V36"/>
  <c r="P36"/>
  <c r="N36"/>
  <c r="L36"/>
  <c r="P35"/>
  <c r="R35"/>
  <c r="P34"/>
  <c r="R34" s="1"/>
  <c r="P33"/>
  <c r="N33"/>
  <c r="L33"/>
  <c r="P32"/>
  <c r="N32"/>
  <c r="P31"/>
  <c r="L31"/>
  <c r="V30"/>
  <c r="P30"/>
  <c r="L30"/>
  <c r="R30" s="1"/>
  <c r="P29"/>
  <c r="N29"/>
  <c r="V28"/>
  <c r="N28"/>
  <c r="L28"/>
  <c r="P27"/>
  <c r="L27"/>
  <c r="P26"/>
  <c r="N26"/>
  <c r="P25"/>
  <c r="R25"/>
  <c r="U24"/>
  <c r="U25" s="1"/>
  <c r="U26" s="1"/>
  <c r="U27" s="1"/>
  <c r="P24"/>
  <c r="N24"/>
  <c r="P23"/>
  <c r="N23"/>
  <c r="L23"/>
  <c r="P22"/>
  <c r="R22" s="1"/>
  <c r="P21"/>
  <c r="N21"/>
  <c r="R21" s="1"/>
  <c r="L21"/>
  <c r="P20"/>
  <c r="N20"/>
  <c r="P19"/>
  <c r="N19"/>
  <c r="P18"/>
  <c r="N18"/>
  <c r="P17"/>
  <c r="N17"/>
  <c r="V16"/>
  <c r="U16"/>
  <c r="L16"/>
  <c r="R16" s="1"/>
  <c r="U15"/>
  <c r="U17" s="1"/>
  <c r="V18" s="1"/>
  <c r="X18" s="1"/>
  <c r="R15"/>
  <c r="P15"/>
  <c r="P14"/>
  <c r="N14"/>
  <c r="P13"/>
  <c r="N13"/>
  <c r="L13"/>
  <c r="P12"/>
  <c r="L12"/>
  <c r="V11"/>
  <c r="U11"/>
  <c r="U12" s="1"/>
  <c r="V13" s="1"/>
  <c r="X13" s="1"/>
  <c r="P11"/>
  <c r="R11"/>
  <c r="P10"/>
  <c r="N10"/>
  <c r="R10" s="1"/>
  <c r="L10"/>
  <c r="L43" s="1"/>
  <c r="P9"/>
  <c r="N9"/>
  <c r="P8"/>
  <c r="N8"/>
  <c r="P7"/>
  <c r="N7"/>
  <c r="V6"/>
  <c r="U6" s="1"/>
  <c r="U7" s="1"/>
  <c r="V8" s="1"/>
  <c r="X8" s="1"/>
  <c r="P6"/>
  <c r="N6"/>
  <c r="R6" s="1"/>
  <c r="P5"/>
  <c r="N5"/>
  <c r="N43" s="1"/>
  <c r="T3"/>
  <c r="R42" i="52" l="1"/>
  <c r="R44" s="1"/>
  <c r="L42" i="51"/>
  <c r="R17"/>
  <c r="R18"/>
  <c r="R19"/>
  <c r="R20"/>
  <c r="R38"/>
  <c r="R39"/>
  <c r="R28"/>
  <c r="R13"/>
  <c r="R14"/>
  <c r="R16"/>
  <c r="R22"/>
  <c r="R23"/>
  <c r="R25"/>
  <c r="R31"/>
  <c r="R33"/>
  <c r="R36"/>
  <c r="R37"/>
  <c r="P42"/>
  <c r="U17"/>
  <c r="V18" s="1"/>
  <c r="X18" s="1"/>
  <c r="N42"/>
  <c r="R28" i="50"/>
  <c r="R19"/>
  <c r="R18"/>
  <c r="R17"/>
  <c r="R9"/>
  <c r="R8"/>
  <c r="R7"/>
  <c r="R44"/>
  <c r="P43"/>
  <c r="R13"/>
  <c r="R14"/>
  <c r="R16"/>
  <c r="R22"/>
  <c r="R23"/>
  <c r="R25"/>
  <c r="R31"/>
  <c r="R33"/>
  <c r="R36"/>
  <c r="R37"/>
  <c r="R5"/>
  <c r="R33" i="49"/>
  <c r="R16"/>
  <c r="R14"/>
  <c r="R13"/>
  <c r="P43"/>
  <c r="R7"/>
  <c r="R37"/>
  <c r="R6"/>
  <c r="R17"/>
  <c r="R18"/>
  <c r="R19"/>
  <c r="R20"/>
  <c r="R22"/>
  <c r="R23"/>
  <c r="R28"/>
  <c r="R5"/>
  <c r="R32" i="48"/>
  <c r="R31"/>
  <c r="R23"/>
  <c r="R22"/>
  <c r="R14"/>
  <c r="R13"/>
  <c r="P42"/>
  <c r="R36"/>
  <c r="R6"/>
  <c r="R7"/>
  <c r="R8"/>
  <c r="R9"/>
  <c r="R10"/>
  <c r="R17"/>
  <c r="R43" s="1"/>
  <c r="R18"/>
  <c r="R19"/>
  <c r="R20"/>
  <c r="R28"/>
  <c r="R5"/>
  <c r="R10" i="47"/>
  <c r="R6"/>
  <c r="R28"/>
  <c r="R31"/>
  <c r="R13"/>
  <c r="R14"/>
  <c r="R5"/>
  <c r="P42"/>
  <c r="R7"/>
  <c r="R8"/>
  <c r="R9"/>
  <c r="R12"/>
  <c r="R16"/>
  <c r="R17"/>
  <c r="R18"/>
  <c r="R19"/>
  <c r="R25"/>
  <c r="R26"/>
  <c r="R36"/>
  <c r="R38"/>
  <c r="R39"/>
  <c r="R41"/>
  <c r="R20"/>
  <c r="R22"/>
  <c r="R27"/>
  <c r="R35"/>
  <c r="N42"/>
  <c r="R36" i="46"/>
  <c r="R33"/>
  <c r="R29"/>
  <c r="R26"/>
  <c r="R12"/>
  <c r="P43"/>
  <c r="R7"/>
  <c r="R8"/>
  <c r="R9"/>
  <c r="R14"/>
  <c r="R17"/>
  <c r="R18"/>
  <c r="R19"/>
  <c r="R20"/>
  <c r="R23"/>
  <c r="R24"/>
  <c r="R27"/>
  <c r="R31"/>
  <c r="R32"/>
  <c r="R37"/>
  <c r="R28"/>
  <c r="R13"/>
  <c r="R5"/>
  <c r="R42" i="51" l="1"/>
  <c r="R44" s="1"/>
  <c r="R43" i="50"/>
  <c r="R45" s="1"/>
  <c r="R43" i="49"/>
  <c r="R45" s="1"/>
  <c r="R42" i="48"/>
  <c r="R44" s="1"/>
  <c r="R42" i="47"/>
  <c r="R44" s="1"/>
  <c r="R43" i="46"/>
  <c r="R45" l="1"/>
  <c r="R16" i="45"/>
  <c r="V36"/>
  <c r="N13"/>
  <c r="S43"/>
  <c r="Q43"/>
  <c r="O43"/>
  <c r="M43"/>
  <c r="K43"/>
  <c r="P42"/>
  <c r="N42"/>
  <c r="L42"/>
  <c r="R42" s="1"/>
  <c r="P41"/>
  <c r="R41" s="1"/>
  <c r="P40"/>
  <c r="N40"/>
  <c r="R40" s="1"/>
  <c r="P39"/>
  <c r="N39"/>
  <c r="R39" s="1"/>
  <c r="P38"/>
  <c r="R38" s="1"/>
  <c r="P37"/>
  <c r="N37"/>
  <c r="P36"/>
  <c r="N36"/>
  <c r="L36"/>
  <c r="P35"/>
  <c r="N35"/>
  <c r="P34"/>
  <c r="R34" s="1"/>
  <c r="P33"/>
  <c r="N33"/>
  <c r="L33"/>
  <c r="P32"/>
  <c r="N32"/>
  <c r="P31"/>
  <c r="L31"/>
  <c r="P30"/>
  <c r="L30"/>
  <c r="P29"/>
  <c r="N29"/>
  <c r="V28"/>
  <c r="V30" s="1"/>
  <c r="N28"/>
  <c r="L28"/>
  <c r="P27"/>
  <c r="N27"/>
  <c r="L27"/>
  <c r="R27" s="1"/>
  <c r="P26"/>
  <c r="N26"/>
  <c r="P25"/>
  <c r="N25"/>
  <c r="U24"/>
  <c r="U25" s="1"/>
  <c r="U26" s="1"/>
  <c r="U27" s="1"/>
  <c r="P24"/>
  <c r="N24"/>
  <c r="P23"/>
  <c r="N23"/>
  <c r="L23"/>
  <c r="R23" s="1"/>
  <c r="P22"/>
  <c r="R22" s="1"/>
  <c r="P21"/>
  <c r="N21"/>
  <c r="L21"/>
  <c r="R21" s="1"/>
  <c r="P20"/>
  <c r="N20"/>
  <c r="P19"/>
  <c r="N19"/>
  <c r="P18"/>
  <c r="N18"/>
  <c r="P17"/>
  <c r="N17"/>
  <c r="V16"/>
  <c r="U16" s="1"/>
  <c r="L16"/>
  <c r="U15"/>
  <c r="U17" s="1"/>
  <c r="V18" s="1"/>
  <c r="X18" s="1"/>
  <c r="P15"/>
  <c r="R15" s="1"/>
  <c r="P14"/>
  <c r="N14"/>
  <c r="R14" s="1"/>
  <c r="P13"/>
  <c r="R13" s="1"/>
  <c r="L13"/>
  <c r="P12"/>
  <c r="L12"/>
  <c r="V11"/>
  <c r="U11" s="1"/>
  <c r="U12" s="1"/>
  <c r="V13" s="1"/>
  <c r="X13" s="1"/>
  <c r="P11"/>
  <c r="N11"/>
  <c r="R11" s="1"/>
  <c r="P10"/>
  <c r="N10"/>
  <c r="L10"/>
  <c r="L43" s="1"/>
  <c r="P9"/>
  <c r="N9"/>
  <c r="P8"/>
  <c r="N8"/>
  <c r="P7"/>
  <c r="N7"/>
  <c r="V6"/>
  <c r="U6"/>
  <c r="U7" s="1"/>
  <c r="V8" s="1"/>
  <c r="X8" s="1"/>
  <c r="P6"/>
  <c r="N6"/>
  <c r="P5"/>
  <c r="N5"/>
  <c r="N43" s="1"/>
  <c r="T3"/>
  <c r="R44" i="44"/>
  <c r="R11"/>
  <c r="R19" i="45" l="1"/>
  <c r="R24"/>
  <c r="R18"/>
  <c r="R36"/>
  <c r="R17"/>
  <c r="P43"/>
  <c r="R37"/>
  <c r="R6"/>
  <c r="R7"/>
  <c r="R8"/>
  <c r="R9"/>
  <c r="R12"/>
  <c r="R20"/>
  <c r="R25"/>
  <c r="R26"/>
  <c r="R29"/>
  <c r="R30"/>
  <c r="R31"/>
  <c r="R32"/>
  <c r="R35"/>
  <c r="R33"/>
  <c r="R28"/>
  <c r="R5"/>
  <c r="R44" s="1"/>
  <c r="R10"/>
  <c r="N26" i="44"/>
  <c r="N13"/>
  <c r="V28"/>
  <c r="V30" s="1"/>
  <c r="U24"/>
  <c r="U25" s="1"/>
  <c r="U26" s="1"/>
  <c r="U27" s="1"/>
  <c r="R43" i="45" l="1"/>
  <c r="R45" s="1"/>
  <c r="N7" i="44"/>
  <c r="N6"/>
  <c r="S43"/>
  <c r="Q43"/>
  <c r="O43"/>
  <c r="M43"/>
  <c r="K43"/>
  <c r="P42"/>
  <c r="N42"/>
  <c r="L42"/>
  <c r="P41"/>
  <c r="R41" s="1"/>
  <c r="P40"/>
  <c r="N40"/>
  <c r="R40" s="1"/>
  <c r="P39"/>
  <c r="N39"/>
  <c r="R39" s="1"/>
  <c r="P38"/>
  <c r="R38" s="1"/>
  <c r="P37"/>
  <c r="N37"/>
  <c r="P36"/>
  <c r="N36"/>
  <c r="L36"/>
  <c r="P35"/>
  <c r="N35"/>
  <c r="P34"/>
  <c r="R34" s="1"/>
  <c r="P33"/>
  <c r="N33"/>
  <c r="L33"/>
  <c r="R33" s="1"/>
  <c r="P32"/>
  <c r="N32"/>
  <c r="P31"/>
  <c r="L31"/>
  <c r="P30"/>
  <c r="L30"/>
  <c r="P29"/>
  <c r="N29"/>
  <c r="N28"/>
  <c r="L28"/>
  <c r="R28" s="1"/>
  <c r="P27"/>
  <c r="N27"/>
  <c r="L27"/>
  <c r="P26"/>
  <c r="R26" s="1"/>
  <c r="P25"/>
  <c r="N25"/>
  <c r="R25" s="1"/>
  <c r="P24"/>
  <c r="N24"/>
  <c r="P23"/>
  <c r="N23"/>
  <c r="L23"/>
  <c r="P22"/>
  <c r="R22" s="1"/>
  <c r="P21"/>
  <c r="N21"/>
  <c r="L21"/>
  <c r="P20"/>
  <c r="N20"/>
  <c r="P19"/>
  <c r="N19"/>
  <c r="P18"/>
  <c r="N18"/>
  <c r="P17"/>
  <c r="N17"/>
  <c r="V16"/>
  <c r="U16"/>
  <c r="L16"/>
  <c r="R16" s="1"/>
  <c r="U15"/>
  <c r="U17" s="1"/>
  <c r="V18" s="1"/>
  <c r="X18" s="1"/>
  <c r="P15"/>
  <c r="R15" s="1"/>
  <c r="P14"/>
  <c r="R14" s="1"/>
  <c r="N14"/>
  <c r="P13"/>
  <c r="L13"/>
  <c r="R13" s="1"/>
  <c r="P12"/>
  <c r="L12"/>
  <c r="V11"/>
  <c r="U11"/>
  <c r="U12" s="1"/>
  <c r="V13" s="1"/>
  <c r="X13" s="1"/>
  <c r="P11"/>
  <c r="N11"/>
  <c r="P10"/>
  <c r="N10"/>
  <c r="L10"/>
  <c r="L43" s="1"/>
  <c r="P9"/>
  <c r="N9"/>
  <c r="P8"/>
  <c r="N8"/>
  <c r="P7"/>
  <c r="V6"/>
  <c r="U6"/>
  <c r="U7" s="1"/>
  <c r="V8" s="1"/>
  <c r="X8" s="1"/>
  <c r="P6"/>
  <c r="R6" s="1"/>
  <c r="P5"/>
  <c r="R5" s="1"/>
  <c r="N5"/>
  <c r="T3"/>
  <c r="R21" i="43"/>
  <c r="R44"/>
  <c r="R19" i="44" l="1"/>
  <c r="R43" s="1"/>
  <c r="R24"/>
  <c r="R37"/>
  <c r="R18"/>
  <c r="R36"/>
  <c r="R23"/>
  <c r="R20"/>
  <c r="R17"/>
  <c r="R12"/>
  <c r="P43"/>
  <c r="R10"/>
  <c r="N43"/>
  <c r="R42"/>
  <c r="R7"/>
  <c r="R8"/>
  <c r="R9"/>
  <c r="R21"/>
  <c r="R27"/>
  <c r="R29"/>
  <c r="R30"/>
  <c r="R31"/>
  <c r="R32"/>
  <c r="R35"/>
  <c r="S43" i="43"/>
  <c r="Q43"/>
  <c r="O43"/>
  <c r="M43"/>
  <c r="K43"/>
  <c r="P38"/>
  <c r="R38" s="1"/>
  <c r="P6"/>
  <c r="R6" s="1"/>
  <c r="P15"/>
  <c r="R15" s="1"/>
  <c r="P19"/>
  <c r="N19"/>
  <c r="P7"/>
  <c r="R7" s="1"/>
  <c r="P25"/>
  <c r="N25"/>
  <c r="P11"/>
  <c r="N11"/>
  <c r="P41"/>
  <c r="R41" s="1"/>
  <c r="P24"/>
  <c r="N24"/>
  <c r="P29"/>
  <c r="N29"/>
  <c r="P34"/>
  <c r="R34" s="1"/>
  <c r="P37"/>
  <c r="N37"/>
  <c r="P36"/>
  <c r="N36"/>
  <c r="L36"/>
  <c r="P21"/>
  <c r="N21"/>
  <c r="L21"/>
  <c r="P23"/>
  <c r="N23"/>
  <c r="L23"/>
  <c r="P31"/>
  <c r="L31"/>
  <c r="P32"/>
  <c r="N32"/>
  <c r="P26"/>
  <c r="R26" s="1"/>
  <c r="P39"/>
  <c r="N39"/>
  <c r="P33"/>
  <c r="N33"/>
  <c r="L33"/>
  <c r="P20"/>
  <c r="N20"/>
  <c r="P30"/>
  <c r="L30"/>
  <c r="P35"/>
  <c r="N35"/>
  <c r="P9"/>
  <c r="N9"/>
  <c r="P17"/>
  <c r="N17"/>
  <c r="P5"/>
  <c r="N5"/>
  <c r="V16"/>
  <c r="U16"/>
  <c r="P40"/>
  <c r="N40"/>
  <c r="U15"/>
  <c r="U17" s="1"/>
  <c r="V18" s="1"/>
  <c r="X18" s="1"/>
  <c r="P14"/>
  <c r="N14"/>
  <c r="P42"/>
  <c r="N42"/>
  <c r="L42"/>
  <c r="P12"/>
  <c r="L12"/>
  <c r="P18"/>
  <c r="N18"/>
  <c r="V11"/>
  <c r="U11"/>
  <c r="U12" s="1"/>
  <c r="V13" s="1"/>
  <c r="X13" s="1"/>
  <c r="P22"/>
  <c r="R22" s="1"/>
  <c r="P27"/>
  <c r="N27"/>
  <c r="L27"/>
  <c r="P13"/>
  <c r="L13"/>
  <c r="N28"/>
  <c r="L28"/>
  <c r="P8"/>
  <c r="N8"/>
  <c r="V6"/>
  <c r="U6"/>
  <c r="U7" s="1"/>
  <c r="V8" s="1"/>
  <c r="X8" s="1"/>
  <c r="P10"/>
  <c r="N10"/>
  <c r="L10"/>
  <c r="R10" s="1"/>
  <c r="N16"/>
  <c r="L16"/>
  <c r="T3"/>
  <c r="S43" i="42"/>
  <c r="Q43"/>
  <c r="O43"/>
  <c r="M43"/>
  <c r="K43"/>
  <c r="P42"/>
  <c r="R42" s="1"/>
  <c r="P41"/>
  <c r="R41" s="1"/>
  <c r="P40"/>
  <c r="R40" s="1"/>
  <c r="P39"/>
  <c r="N39"/>
  <c r="R38"/>
  <c r="P38"/>
  <c r="P37"/>
  <c r="N37"/>
  <c r="P36"/>
  <c r="N36"/>
  <c r="R35"/>
  <c r="P35"/>
  <c r="P34"/>
  <c r="N34"/>
  <c r="P33"/>
  <c r="N33"/>
  <c r="R32"/>
  <c r="P32"/>
  <c r="P31"/>
  <c r="N31"/>
  <c r="P30"/>
  <c r="N30"/>
  <c r="L30"/>
  <c r="R30" s="1"/>
  <c r="P29"/>
  <c r="N29"/>
  <c r="L29"/>
  <c r="R29" s="1"/>
  <c r="P28"/>
  <c r="N28"/>
  <c r="L28"/>
  <c r="R28" s="1"/>
  <c r="P27"/>
  <c r="L27"/>
  <c r="R27" s="1"/>
  <c r="P26"/>
  <c r="N26"/>
  <c r="R26" s="1"/>
  <c r="P25"/>
  <c r="R25" s="1"/>
  <c r="P24"/>
  <c r="N24"/>
  <c r="P23"/>
  <c r="N23"/>
  <c r="L23"/>
  <c r="P22"/>
  <c r="N22"/>
  <c r="P21"/>
  <c r="L21"/>
  <c r="R21" s="1"/>
  <c r="P20"/>
  <c r="N20"/>
  <c r="R20" s="1"/>
  <c r="P19"/>
  <c r="N19"/>
  <c r="R19" s="1"/>
  <c r="P18"/>
  <c r="N18"/>
  <c r="R18" s="1"/>
  <c r="P17"/>
  <c r="N17"/>
  <c r="R17" s="1"/>
  <c r="V16"/>
  <c r="U16"/>
  <c r="P16"/>
  <c r="N16"/>
  <c r="U15"/>
  <c r="U17" s="1"/>
  <c r="V18" s="1"/>
  <c r="X18" s="1"/>
  <c r="P15"/>
  <c r="N15"/>
  <c r="P14"/>
  <c r="N14"/>
  <c r="L14"/>
  <c r="P13"/>
  <c r="L13"/>
  <c r="P12"/>
  <c r="N12"/>
  <c r="R12" s="1"/>
  <c r="V11"/>
  <c r="U11"/>
  <c r="U12" s="1"/>
  <c r="V13" s="1"/>
  <c r="X13" s="1"/>
  <c r="P11"/>
  <c r="R11" s="1"/>
  <c r="P10"/>
  <c r="N10"/>
  <c r="L10"/>
  <c r="P9"/>
  <c r="L9"/>
  <c r="R9" s="1"/>
  <c r="N8"/>
  <c r="L8"/>
  <c r="R8" s="1"/>
  <c r="P7"/>
  <c r="N7"/>
  <c r="R7" s="1"/>
  <c r="V6"/>
  <c r="U6"/>
  <c r="U7" s="1"/>
  <c r="V8" s="1"/>
  <c r="X8" s="1"/>
  <c r="P6"/>
  <c r="N6"/>
  <c r="L6"/>
  <c r="R6" s="1"/>
  <c r="N5"/>
  <c r="N43" s="1"/>
  <c r="L5"/>
  <c r="L43" s="1"/>
  <c r="T3"/>
  <c r="R45" i="44" l="1"/>
  <c r="P43" i="43"/>
  <c r="N43"/>
  <c r="R8"/>
  <c r="R28"/>
  <c r="R13"/>
  <c r="R27"/>
  <c r="R5"/>
  <c r="R17"/>
  <c r="R9"/>
  <c r="R35"/>
  <c r="R30"/>
  <c r="R20"/>
  <c r="R32"/>
  <c r="R31"/>
  <c r="R23"/>
  <c r="R36"/>
  <c r="R42"/>
  <c r="R14"/>
  <c r="L43"/>
  <c r="R18"/>
  <c r="R12"/>
  <c r="R40"/>
  <c r="R33"/>
  <c r="R39"/>
  <c r="R37"/>
  <c r="R29"/>
  <c r="R24"/>
  <c r="R11"/>
  <c r="R25"/>
  <c r="R19"/>
  <c r="R16"/>
  <c r="R10" i="42"/>
  <c r="R22"/>
  <c r="R13"/>
  <c r="P43"/>
  <c r="R16"/>
  <c r="R14"/>
  <c r="R15"/>
  <c r="R23"/>
  <c r="R24"/>
  <c r="R31"/>
  <c r="R33"/>
  <c r="R34"/>
  <c r="R36"/>
  <c r="R37"/>
  <c r="R39"/>
  <c r="R44"/>
  <c r="R5"/>
  <c r="R43" i="43" l="1"/>
  <c r="R45" s="1"/>
  <c r="R43" i="42"/>
  <c r="R45" s="1"/>
</calcChain>
</file>

<file path=xl/sharedStrings.xml><?xml version="1.0" encoding="utf-8"?>
<sst xmlns="http://schemas.openxmlformats.org/spreadsheetml/2006/main" count="6916" uniqueCount="532">
  <si>
    <t>1D47</t>
  </si>
  <si>
    <t>1D10</t>
  </si>
  <si>
    <t>1D24</t>
  </si>
  <si>
    <t>Chofer Abon</t>
  </si>
  <si>
    <t>1D86</t>
  </si>
  <si>
    <t>2D03</t>
  </si>
  <si>
    <t>2D02</t>
  </si>
  <si>
    <t>Cod</t>
  </si>
  <si>
    <t>2D11</t>
  </si>
  <si>
    <t>2D20</t>
  </si>
  <si>
    <t>2D21</t>
  </si>
  <si>
    <t>2D22</t>
  </si>
  <si>
    <t>1D99</t>
  </si>
  <si>
    <t>2D13</t>
  </si>
  <si>
    <t>2D17</t>
  </si>
  <si>
    <t>Total   
Viajes</t>
  </si>
  <si>
    <t>1D98</t>
  </si>
  <si>
    <t>2D15</t>
  </si>
  <si>
    <t>TEOFILO CUADROS NOLASCO</t>
  </si>
  <si>
    <t>ANTENOR LEO CAMARA ORIZANO</t>
  </si>
  <si>
    <t>1P88</t>
  </si>
  <si>
    <t>ABEL CANDIOTTI CANO</t>
  </si>
  <si>
    <t>ANDRADE CATALAN HUAMAN</t>
  </si>
  <si>
    <t>WALTER VARGAS HUAMAN</t>
  </si>
  <si>
    <t>MARIO CESAR ALARICO PINEDA</t>
  </si>
  <si>
    <t>2D04</t>
  </si>
  <si>
    <t>WALTER FERNANDO CASTILLO RUBIO</t>
  </si>
  <si>
    <t>DANIEL QUISPE BONIFACIO</t>
  </si>
  <si>
    <t>2D14</t>
  </si>
  <si>
    <t>RUFINO CHAMBI HERRERA</t>
  </si>
  <si>
    <t>2D18</t>
  </si>
  <si>
    <t>2D19</t>
  </si>
  <si>
    <t>JAIME LIZARBE CARDENAS</t>
  </si>
  <si>
    <t>JUAN CARLOS ASMAT SIGUEñAS</t>
  </si>
  <si>
    <t>JULIO ALBERTO OLIVERA APAZA</t>
  </si>
  <si>
    <t>ALARICO  PINEDA MARIO CESAR</t>
  </si>
  <si>
    <t>QUISPE  BONIFACIO DANIEL</t>
  </si>
  <si>
    <t>ROLANDO JESUS PACHECO SOLIER</t>
  </si>
  <si>
    <t>NEON SAMUEL BOBBIO AGUILAR</t>
  </si>
  <si>
    <t>T o l v a s</t>
  </si>
  <si>
    <t>Plataformas</t>
  </si>
  <si>
    <t>2D24</t>
  </si>
  <si>
    <t>2D08</t>
  </si>
  <si>
    <t>DAVID BARROSO LOMOTE</t>
  </si>
  <si>
    <t>1P99</t>
  </si>
  <si>
    <t>2P01</t>
  </si>
  <si>
    <t>FAUSTINO LAURA LLAMOCURI</t>
  </si>
  <si>
    <t>MIGUEL ANGEL VILLANUEVA ROBLES</t>
  </si>
  <si>
    <t>2D26</t>
  </si>
  <si>
    <t>SAMUEL RAMOS FLORES</t>
  </si>
  <si>
    <t>Fuera de Planilla</t>
  </si>
  <si>
    <t>2P02</t>
  </si>
  <si>
    <t>FRODIN GARCIA CHAVEZ</t>
  </si>
  <si>
    <t>2P03</t>
  </si>
  <si>
    <t>WILVER VASQUEZ PAREDES</t>
  </si>
  <si>
    <t>PEDRO RAFAELLE QUIROZ</t>
  </si>
  <si>
    <t>2P05</t>
  </si>
  <si>
    <t>JUAN MANUEL CAJACURI CASAS</t>
  </si>
  <si>
    <t>Planilla ---&gt;&gt;</t>
  </si>
  <si>
    <t>DESCUENTO</t>
  </si>
  <si>
    <t>2D27</t>
  </si>
  <si>
    <t>2P06</t>
  </si>
  <si>
    <t>LUIS GOMEZ URBANO</t>
  </si>
  <si>
    <t>Rtg Afecto</t>
  </si>
  <si>
    <t>2P07</t>
  </si>
  <si>
    <t>BORIS ARROYO VENTOCILLA</t>
  </si>
  <si>
    <t>JUAN CONDOR</t>
  </si>
  <si>
    <t>OMAR GUERRERO CENTURION</t>
  </si>
  <si>
    <t>JUAN CARLOS DIAZ BILBAO</t>
  </si>
  <si>
    <t>0D91</t>
  </si>
  <si>
    <t>ALBERTO CARPIO</t>
  </si>
  <si>
    <t>2P08</t>
  </si>
  <si>
    <t>EMANUEL LAUREANO YAPIAS</t>
  </si>
  <si>
    <t>PERCY MAMANI MAMANI</t>
  </si>
  <si>
    <t>JUAN URIARTE</t>
  </si>
  <si>
    <t>OCTAVIO JUAREZ POMA</t>
  </si>
  <si>
    <t>DARIO CATALAN HUAMANI</t>
  </si>
  <si>
    <t>2P09</t>
  </si>
  <si>
    <t>CARLOS CARBAJAL HERRERA</t>
  </si>
  <si>
    <t>1D61</t>
  </si>
  <si>
    <t>JORGE HINOSTROZA VALLADRES</t>
  </si>
  <si>
    <t>Eventuales f/d Plnlla</t>
  </si>
  <si>
    <t>2P10</t>
  </si>
  <si>
    <t>ROLANDO ARGOTE SURCO</t>
  </si>
  <si>
    <t>2P11</t>
  </si>
  <si>
    <t>JULIO SALCEDO FACHO</t>
  </si>
  <si>
    <t>Semana │Cod. │Chofer                        │Imp│Monto   │Reint.  │Total  │</t>
  </si>
  <si>
    <t>═══════Ï═════Ï══════════════════════════════Ï═══Ï════════Ï════════Ï═══════¤</t>
  </si>
  <si>
    <t>2018480│     │                              │   │    0.00│        │</t>
  </si>
  <si>
    <t>2018480│     │***  SEMANA SIN EVENTUALES ***│   │        │        │</t>
  </si>
  <si>
    <t>2018480│     │                              │   │        │        │</t>
  </si>
  <si>
    <t>dif</t>
  </si>
  <si>
    <t>1D55</t>
  </si>
  <si>
    <t>JUAN C CANCHAHUAMAN RIVEROS</t>
  </si>
  <si>
    <r>
      <rPr>
        <sz val="8"/>
        <color theme="9" tint="0.59999389629810485"/>
        <rFont val="Draft 15cpi"/>
        <family val="3"/>
      </rPr>
      <t xml:space="preserve">MIXERCON </t>
    </r>
    <r>
      <rPr>
        <b/>
        <sz val="8"/>
        <color theme="9" tint="0.59999389629810485"/>
        <rFont val="Draft 15cpi"/>
        <family val="3"/>
      </rPr>
      <t xml:space="preserve">  Sem ??</t>
    </r>
  </si>
  <si>
    <r>
      <t xml:space="preserve">   Memorandum - Sem 01/2019</t>
    </r>
    <r>
      <rPr>
        <sz val="9"/>
        <rFont val="Draft 15cpi"/>
        <family val="3"/>
      </rPr>
      <t xml:space="preserve">   -   Fecha: 08/012019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</si>
  <si>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Sem-01</t>
  </si>
  <si>
    <t>Reintgr Memo 
Sem-01</t>
  </si>
  <si>
    <t>IMPTO. 5TA CATEG.</t>
  </si>
  <si>
    <t>REINTEGRO AFECTO(2239)</t>
  </si>
  <si>
    <r>
      <t xml:space="preserve">   Memorandum - Sem 02/2019</t>
    </r>
    <r>
      <rPr>
        <sz val="9"/>
        <rFont val="Draft 15cpi"/>
        <family val="3"/>
      </rPr>
      <t xml:space="preserve">   -   Fecha: 15/012019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</si>
  <si>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Sem-02</t>
  </si>
  <si>
    <t>Reintgr Memo 
Sem-02</t>
  </si>
  <si>
    <t>REINTEGRO AFECTO
Cod (2239)</t>
  </si>
  <si>
    <t>IMPTO. 
5TA 
CATEG.</t>
  </si>
  <si>
    <t xml:space="preserve">CARPIO ALBERTO </t>
  </si>
  <si>
    <t xml:space="preserve">BOBBIO AGUILAR NEON SAMUEL </t>
  </si>
  <si>
    <t xml:space="preserve">ASMAT SIGUEñAS JUAN CARLOS </t>
  </si>
  <si>
    <t xml:space="preserve">JUAREZ POMA OCTAVIO </t>
  </si>
  <si>
    <t xml:space="preserve">CANCHAHUAMAN RIVEROS JUAN C </t>
  </si>
  <si>
    <t xml:space="preserve">HINOSTROZA VALLADRES JORGE </t>
  </si>
  <si>
    <t xml:space="preserve">CUADROS NOLASCO TEOFILO </t>
  </si>
  <si>
    <t xml:space="preserve">CATALAN HUAMAN ANDRADE </t>
  </si>
  <si>
    <t xml:space="preserve">CAMARA ORIZANO ANTENOR LEO </t>
  </si>
  <si>
    <t xml:space="preserve">VILLANUEVA ROBLES MIGUEL ANGEL </t>
  </si>
  <si>
    <t xml:space="preserve">CANDIOTTI CANO ABEL </t>
  </si>
  <si>
    <t xml:space="preserve">VARGAS HUAMAN WALTER </t>
  </si>
  <si>
    <t xml:space="preserve">ALARICO PINEDA MARIO CESAR </t>
  </si>
  <si>
    <t xml:space="preserve">CASTILLO RUBIO WALTER FERNANDO </t>
  </si>
  <si>
    <t xml:space="preserve">BARROSO LOMOTE DAVID </t>
  </si>
  <si>
    <t xml:space="preserve">QUISPE BONIFACIO DANIEL </t>
  </si>
  <si>
    <t xml:space="preserve">LAUREANO YAPIAS EMANUEL </t>
  </si>
  <si>
    <t xml:space="preserve">CHAMBI HERRERA RUFINO </t>
  </si>
  <si>
    <t xml:space="preserve">OLIVERA APAZA JULIO ALBERTO </t>
  </si>
  <si>
    <t xml:space="preserve">URIARTE JUAN </t>
  </si>
  <si>
    <t xml:space="preserve">GUERRERO CENTURION OMAR </t>
  </si>
  <si>
    <t xml:space="preserve">MAMANI MAMANI PERCY </t>
  </si>
  <si>
    <t xml:space="preserve">LIZARBE CARDENAS JAIME </t>
  </si>
  <si>
    <t xml:space="preserve">DIAZ BILBAO JUAN CARLOS </t>
  </si>
  <si>
    <t xml:space="preserve">CONDOR JUAN </t>
  </si>
  <si>
    <t xml:space="preserve">RAFAELLE QUIROZ PEDRO </t>
  </si>
  <si>
    <t xml:space="preserve">RAMOS FLORES SAMUEL </t>
  </si>
  <si>
    <t xml:space="preserve">PACHECO SOLIER ROLANDO JESUS </t>
  </si>
  <si>
    <t xml:space="preserve">LAURA LLAMOCURI FAUSTINO </t>
  </si>
  <si>
    <t xml:space="preserve">GARCIA CHAVEZ FRODIN </t>
  </si>
  <si>
    <t xml:space="preserve">VASQUEZ PAREDES WILVER </t>
  </si>
  <si>
    <t xml:space="preserve">CAJACURI CASAS JUAN MANUEL </t>
  </si>
  <si>
    <t xml:space="preserve">GOMEZ URBANO LUIS </t>
  </si>
  <si>
    <t xml:space="preserve">ARROYO VENTOCILLA BORIS </t>
  </si>
  <si>
    <t xml:space="preserve">CATALAN HUAMANI DARIO </t>
  </si>
  <si>
    <t xml:space="preserve">CARBAJAL HERRERA CARLOS </t>
  </si>
  <si>
    <t xml:space="preserve">ARGOTE SURCO ROLANDO </t>
  </si>
  <si>
    <t xml:space="preserve">SALCEDO FACHO JULIO </t>
  </si>
  <si>
    <t>condic</t>
  </si>
  <si>
    <r>
      <t xml:space="preserve">   Memorandum - Sem 03/2019</t>
    </r>
    <r>
      <rPr>
        <sz val="9"/>
        <rFont val="Draft 15cpi"/>
        <family val="3"/>
      </rPr>
      <t xml:space="preserve">   -   Fecha: 22/012019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</si>
  <si>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Sem-03</t>
  </si>
  <si>
    <t>Reintgr Memo 
Sem-03</t>
  </si>
  <si>
    <t>MIXERCON   Sem 03</t>
  </si>
  <si>
    <t>DIAS</t>
  </si>
  <si>
    <t>VIAJES</t>
  </si>
  <si>
    <t>Promedio</t>
  </si>
  <si>
    <t>2 viajes  -&gt; S/ 20    20 + 0</t>
  </si>
  <si>
    <t>3 viajes  -&gt; S/ 20    20 + 0</t>
  </si>
  <si>
    <t>4 viajes  -&gt; S/ 23    20 + 3</t>
  </si>
  <si>
    <t>5 viajes  -&gt; S/ 25    20 + 5</t>
  </si>
  <si>
    <t>6 viajes  -&gt; S/ 25    20 + 5</t>
  </si>
  <si>
    <t>1 viaje    -&gt; S/ 20    20 + 0</t>
  </si>
  <si>
    <t>Tabla de pagos sg muestra</t>
  </si>
  <si>
    <t xml:space="preserve">           Fecha</t>
  </si>
  <si>
    <t xml:space="preserve">        Dias</t>
  </si>
  <si>
    <t xml:space="preserve">                =&gt;</t>
  </si>
  <si>
    <t xml:space="preserve">   Bonif extra para tolveros ….</t>
  </si>
  <si>
    <t>CARPIO ALBERTO CASTILLO</t>
  </si>
  <si>
    <r>
      <t xml:space="preserve">   Memorandum - Sem 04/2019</t>
    </r>
    <r>
      <rPr>
        <sz val="9"/>
        <rFont val="Draft 15cpi"/>
        <family val="3"/>
      </rPr>
      <t xml:space="preserve">   -   Fecha: 29/01/2019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</si>
  <si>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 xml:space="preserve"> VS04</t>
  </si>
  <si>
    <t xml:space="preserve"> VS03</t>
  </si>
  <si>
    <t>MIXERCON   Sem ??</t>
  </si>
  <si>
    <t>Almacenes RANSA  
Sem-04</t>
  </si>
  <si>
    <t>Reintgr Memo 
Sem-04</t>
  </si>
  <si>
    <t xml:space="preserve"> VS02</t>
  </si>
  <si>
    <t>VS01</t>
  </si>
  <si>
    <t>Almacenes RANSA  
Sem-05</t>
  </si>
  <si>
    <t>Reintgr Memo 
Sem-05</t>
  </si>
  <si>
    <t>SAN REMO   Sem 05</t>
  </si>
  <si>
    <r>
      <t xml:space="preserve">   Memorandum - Sem 05/2019</t>
    </r>
    <r>
      <rPr>
        <sz val="9"/>
        <rFont val="Draft 15cpi"/>
        <family val="3"/>
      </rPr>
      <t xml:space="preserve">   -   Fecha Ref.: 05/02/2019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</si>
  <si>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r>
      <t xml:space="preserve">   Memorandum - Sem 06/2019</t>
    </r>
    <r>
      <rPr>
        <sz val="9"/>
        <rFont val="Draft 15cpi"/>
        <family val="3"/>
      </rPr>
      <t xml:space="preserve">   -   Fecha Ref.: 12/02/2019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</si>
  <si>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Reintgr Memo 
Sem-06</t>
  </si>
  <si>
    <t>Almacenes RANSA  
Sem-06</t>
  </si>
  <si>
    <t xml:space="preserve"> xxx xxxx   
Sem 0?</t>
  </si>
  <si>
    <t xml:space="preserve"> VS01</t>
  </si>
  <si>
    <r>
      <t xml:space="preserve">   Memorandum - Sem 07/2019</t>
    </r>
    <r>
      <rPr>
        <sz val="9"/>
        <rFont val="Draft 15cpi"/>
        <family val="3"/>
      </rPr>
      <t xml:space="preserve">   -   Fecha Ref.: 20/02/2019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</si>
  <si>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Sem-07</t>
  </si>
  <si>
    <t>Reintgr Memo 
Sem-07</t>
  </si>
  <si>
    <r>
      <t xml:space="preserve">   Memorandum - Sem 08/2019</t>
    </r>
    <r>
      <rPr>
        <sz val="9"/>
        <rFont val="Draft 15cpi"/>
        <family val="3"/>
      </rPr>
      <t xml:space="preserve">   -   Fecha Ref.: 26/02/2019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</si>
  <si>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Sem-08</t>
  </si>
  <si>
    <t>Reintgr Memo 
Sem-08</t>
  </si>
  <si>
    <t>2P13</t>
  </si>
  <si>
    <t>MARMOLES URREA EDUARDO ENRIQUE</t>
  </si>
  <si>
    <r>
      <t xml:space="preserve">   Memorandum - Sem 09/2019</t>
    </r>
    <r>
      <rPr>
        <sz val="9"/>
        <rFont val="Draft 15cpi"/>
        <family val="3"/>
      </rPr>
      <t xml:space="preserve">   -   Fecha Ref.: 06/03/2019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</si>
  <si>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Sem-09</t>
  </si>
  <si>
    <t>Reintgr Memo 
Sem-09</t>
  </si>
  <si>
    <t>CONDOR JUAN  CARLOS</t>
  </si>
  <si>
    <t>Almacenes RANSA  
Sem-10</t>
  </si>
  <si>
    <t xml:space="preserve"> San Remo
Ot-2137   
Sem 10</t>
  </si>
  <si>
    <t xml:space="preserve"> San Remo
Ot-2142   
Sem 10</t>
  </si>
  <si>
    <t xml:space="preserve">CANDIOTTI  CANO ABEL </t>
  </si>
  <si>
    <t xml:space="preserve">CARPIO CASTILLO ALBERTO </t>
  </si>
  <si>
    <t>Reintg 
Memo 
Sem-10</t>
  </si>
  <si>
    <r>
      <t xml:space="preserve">   Memorandum - Sem 010/2019</t>
    </r>
    <r>
      <rPr>
        <sz val="9"/>
        <rFont val="Draft 15cpi"/>
        <family val="3"/>
      </rPr>
      <t xml:space="preserve">   -   Fecha Ref.: 12/03/2019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</si>
  <si>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Semana│Cod.│Chofer                  │I│Monto  │Reint. │Total  │Observ     │</t>
  </si>
  <si>
    <t>══════Ï════Ï════════════════════════Ï═Ï═══════Ï═══════Ï═══════Ï═══════════¤</t>
  </si>
  <si>
    <t>201910│2D13│EMMANUEL LAUREANO YAPIAS│ │ 440.00│ 139.00│ 579.00│BNF 23Y20VJS</t>
  </si>
  <si>
    <t>201910│2D21│JUAN C CONDOR MEZA      │ │ 540.00│ 195.00│ 735.00│BNF 25Y24VJS</t>
  </si>
  <si>
    <t>201910│2D25│FAUSTINO LAURA LLAMOCURI│ │ 420.00│ 150.00│ 570.00│BNF 30VJS RA</t>
  </si>
  <si>
    <t>201910│2P02│FRODIN GARCIA CHAVEZ    │ │ 420.00│ 150.00│ 570.00│BNF 30VJS RA</t>
  </si>
  <si>
    <t>201910│2P13│MARMOLES  URREA, EDUARDO│ │ 280.00│ 120.00│ 400.00│bnf 20vjs-ra</t>
  </si>
  <si>
    <t xml:space="preserve">      │    │                        │ │       │       │       │</t>
  </si>
  <si>
    <r>
      <t xml:space="preserve">   Memorandum - Sem 011/2019</t>
    </r>
    <r>
      <rPr>
        <sz val="9"/>
        <rFont val="Draft 15cpi"/>
        <family val="3"/>
      </rPr>
      <t xml:space="preserve">   -   Fecha Ref.: 19/03/2019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</si>
  <si>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 xml:space="preserve"> San Remo
Ot-????   
Sem ??</t>
  </si>
  <si>
    <t>Almacenes RANSA  
Sem-11</t>
  </si>
  <si>
    <t>Reintg 
Memo 
Sem-11</t>
  </si>
  <si>
    <r>
      <t xml:space="preserve">   Memorandum - Sem 012/2019</t>
    </r>
    <r>
      <rPr>
        <sz val="9"/>
        <rFont val="Draft 15cpi"/>
        <family val="3"/>
      </rPr>
      <t xml:space="preserve">   -   Fecha Ref.: 26/03/2019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</si>
  <si>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Sem-12</t>
  </si>
  <si>
    <t>Reintg 
Memo 
Sem-12</t>
  </si>
  <si>
    <t>2P14</t>
  </si>
  <si>
    <t>HOSTOS SALAZAR PEDRO</t>
  </si>
  <si>
    <t xml:space="preserve"> QUIMPAC
Ot-2147   
Sem 12</t>
  </si>
  <si>
    <r>
      <t xml:space="preserve">   Memorandum - Sem 013/2019</t>
    </r>
    <r>
      <rPr>
        <sz val="9"/>
        <rFont val="Draft 15cpi"/>
        <family val="3"/>
      </rPr>
      <t xml:space="preserve">   -   Fecha Ref.: 02/04/2019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</si>
  <si>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Reintg 
Memo 
Sem-13</t>
  </si>
  <si>
    <t>Almacenes RANSA  
Sem-13</t>
  </si>
  <si>
    <t>Almacenes RANSA  
Sem-14</t>
  </si>
  <si>
    <t>Reintg 
Memo 
Sem-14</t>
  </si>
  <si>
    <r>
      <t xml:space="preserve">   Memorandum - Sem 014/2019</t>
    </r>
    <r>
      <rPr>
        <sz val="9"/>
        <rFont val="Draft 15cpi"/>
        <family val="3"/>
      </rPr>
      <t xml:space="preserve">   -   Fecha Ref.: 09/04/2019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</si>
  <si>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r>
      <t xml:space="preserve">   Memorandum - Sem 015/2019</t>
    </r>
    <r>
      <rPr>
        <sz val="9"/>
        <rFont val="Draft 15cpi"/>
        <family val="3"/>
      </rPr>
      <t xml:space="preserve">   -   Fecha Ref.: 16/04/2019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</si>
  <si>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Sem-15</t>
  </si>
  <si>
    <t>Reintg 
Memo 
Sem-15</t>
  </si>
  <si>
    <t>Reingreso al 08/04/2019</t>
  </si>
  <si>
    <t>VS02</t>
  </si>
  <si>
    <r>
      <t xml:space="preserve">   Memorandum - Sem 016/2019</t>
    </r>
    <r>
      <rPr>
        <sz val="9"/>
        <rFont val="Draft 15cpi"/>
        <family val="3"/>
      </rPr>
      <t xml:space="preserve">   -   Fecha Ref.: 23/04/2019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</si>
  <si>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 xml:space="preserve"> QUIMPAC
Ot-2147   
Sem 16</t>
  </si>
  <si>
    <t>Almacenes RANSA  
Sem-16</t>
  </si>
  <si>
    <t>Reintg 
Memo 
Sem-16</t>
  </si>
  <si>
    <t>VS03</t>
  </si>
  <si>
    <t>1D81</t>
  </si>
  <si>
    <t xml:space="preserve">PAREDES LUQUE GUILLERMO </t>
  </si>
  <si>
    <t>DIAZ BILBAO YONATAN JAVIER</t>
  </si>
  <si>
    <t>2P12</t>
  </si>
  <si>
    <t>Cod. ¦Chofer                    ¦I¦Monto  ¦Reint. ¦Total  ¦Observ         ¦</t>
  </si>
  <si>
    <t>1D81 ¦GUILLERMO PAREDES LUQUE   ¦ ¦ 320.00¦       ¦ 320.00¦</t>
  </si>
  <si>
    <t>2D13 ¦EMMANUEL LAUREANO YAPIAS  ¦ ¦ 240.00¦       ¦ 240.00¦</t>
  </si>
  <si>
    <t>2D20 ¦JUAN C DIAZ BILBAO        ¦ ¦ 490.00¦ 150.00¦ 640.00¦BNF 35VJS-RANSA</t>
  </si>
  <si>
    <t>2P12 ¦DIAZ  BILBAO, YONATAN JAVI¦ ¦ 260.00¦       ¦ 260.00¦</t>
  </si>
  <si>
    <t>2P13 ¦MARMOLES  URREA, EDUARDO E¦ ¦ 300.00¦       ¦ 300.00¦</t>
  </si>
  <si>
    <t>2P14 ¦HOSTOS  SALAZAR, PEDRO ALE¦ ¦ 380.00¦       ¦ 380.00¦</t>
  </si>
  <si>
    <t>-----Ï--------------------------Ï-Ï-------Ï-------Ï-------Ï---------------¤</t>
  </si>
  <si>
    <r>
      <t xml:space="preserve">   Memorandum - Sem 017/2019</t>
    </r>
    <r>
      <rPr>
        <sz val="9"/>
        <rFont val="Draft 15cpi"/>
        <family val="3"/>
      </rPr>
      <t xml:space="preserve">   -   Fecha Ref.: 30/04/2019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</si>
  <si>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Sem-17</t>
  </si>
  <si>
    <t>Reintg 
Memo 
Sem-17</t>
  </si>
  <si>
    <t xml:space="preserve">Nombre de Chofer
 </t>
  </si>
  <si>
    <t xml:space="preserve">Cod 
</t>
  </si>
  <si>
    <t>VS04</t>
  </si>
  <si>
    <t xml:space="preserve"> QUIMPAC
Ot-2163   
Sem 17</t>
  </si>
  <si>
    <r>
      <t xml:space="preserve">   Memorandum - Sem 018/2019</t>
    </r>
    <r>
      <rPr>
        <sz val="9"/>
        <rFont val="Draft 15cpi"/>
        <family val="3"/>
      </rPr>
      <t xml:space="preserve">   -   Fecha Ref.: 07/05/2019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</si>
  <si>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 xml:space="preserve"> QUIMPAC
Ot-????   
Sem 18</t>
  </si>
  <si>
    <t>Almacenes RANSA  
Sem-18</t>
  </si>
  <si>
    <t>Reintg 
Memo 
Sem-18</t>
  </si>
  <si>
    <r>
      <t xml:space="preserve">   Memorandum - Sem 019/2019</t>
    </r>
    <r>
      <rPr>
        <sz val="9"/>
        <rFont val="Draft 15cpi"/>
        <family val="3"/>
      </rPr>
      <t xml:space="preserve">   -   Fecha Ref.: 14/05/2019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</si>
  <si>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Sem-19</t>
  </si>
  <si>
    <t>Reintg 
Memo 
Sem-19</t>
  </si>
  <si>
    <t>Cod.│Chofer                 │Im│Monto  │Reint. │Total  │Observ            │</t>
  </si>
  <si>
    <t>════Ï═══════════════════════Ï══Ï═══════Ï═══════Ï═══════Ï══════════════════¤</t>
  </si>
  <si>
    <t>2D19│JAIME LIZARBE CARDENAS │S │ 280.00│ 120.00│ 400.00│VS01 + BNF 20VJS-RA</t>
  </si>
  <si>
    <t>2D04│WALTER CASTILLO RUBIO  │S │ 406.00│ 150.00│ 556.00│VS01 + BNF 29VJS-RA</t>
  </si>
  <si>
    <t>2D18│PERCY MAMANI MAMANI    │S │  28.00│  12.00│  40.00│VS01 + BNF 02VJS-RA</t>
  </si>
  <si>
    <t>2P12│DIAZ  BILBAO, YONATAN J│S │ 360.00│       │ 360.00│BNF 5VJS</t>
  </si>
  <si>
    <t xml:space="preserve">    │                       │  │       │       │       │</t>
  </si>
  <si>
    <r>
      <t xml:space="preserve">   Memorandum - Sem 020/2019</t>
    </r>
    <r>
      <rPr>
        <sz val="9"/>
        <rFont val="Draft 15cpi"/>
        <family val="3"/>
      </rPr>
      <t xml:space="preserve">   -   Fecha Ref.: 21/05/2019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</si>
  <si>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Reintg 
Memo 
Sem-20</t>
  </si>
  <si>
    <t>Almacenes RANSA  
Sem-20</t>
  </si>
  <si>
    <t xml:space="preserve"> QUIMPAC
Ot-????   
Sem 20</t>
  </si>
  <si>
    <t>2P15</t>
  </si>
  <si>
    <t>CASTELLANOS RODRIGUEZ REINALDO</t>
  </si>
  <si>
    <t>2P16</t>
  </si>
  <si>
    <t>CORTEZ CAICUTO ROGER A.</t>
  </si>
  <si>
    <r>
      <t xml:space="preserve">   Memorandum - Sem 022/2019</t>
    </r>
    <r>
      <rPr>
        <sz val="9"/>
        <rFont val="Draft 15cpi"/>
        <family val="3"/>
      </rPr>
      <t xml:space="preserve">   -   Fecha Ref.: 05/05/2019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</si>
  <si>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Sem-22</t>
  </si>
  <si>
    <t>Reintg 
Memo 
Sem-22</t>
  </si>
  <si>
    <t>Viajes</t>
  </si>
  <si>
    <t xml:space="preserve"> QUIMPAC
Ot-2173-2174-2177  Sem 21-22</t>
  </si>
  <si>
    <t>Reintg 
Memo 
Sem-23</t>
  </si>
  <si>
    <t>Almacenes RANSA  
Sem-23</t>
  </si>
  <si>
    <t xml:space="preserve"> QUIMPAC
Ot-????
Sem 23</t>
  </si>
  <si>
    <t>ARROYO VENTOCILLA BORIS ROMAN</t>
  </si>
  <si>
    <t>GUERRERO CENTURION OMAR IVAN</t>
  </si>
  <si>
    <t>ASMAT SIGUEÑAS JUAN CARLOS</t>
  </si>
  <si>
    <t>MAMANI  MAMANI  PERCY RUBEN</t>
  </si>
  <si>
    <t>VILLANUEVA  ROBLES MIGUEL ANGEL OC</t>
  </si>
  <si>
    <t>DIAZ BILBAO JUAN CARLOS</t>
  </si>
  <si>
    <r>
      <t xml:space="preserve">***  Los S/ 720.00= se aplican al </t>
    </r>
    <r>
      <rPr>
        <b/>
        <sz val="11"/>
        <color rgb="FFC00000"/>
        <rFont val="Arial Rounded MT Bold"/>
        <family val="2"/>
      </rPr>
      <t>PAGO NETO</t>
    </r>
    <r>
      <rPr>
        <sz val="11"/>
        <color rgb="FFC00000"/>
        <rFont val="Arial Rounded MT Bold"/>
        <family val="2"/>
      </rPr>
      <t xml:space="preserve">  (ICC-13-06-19 10:16)</t>
    </r>
  </si>
  <si>
    <t>al 12/06/2019</t>
  </si>
  <si>
    <t>Tabla de pagos sg muestra - 
Promedio por dia</t>
  </si>
  <si>
    <t xml:space="preserve">   Bonif Extra para Tolveros ….</t>
  </si>
  <si>
    <t>Fecha</t>
  </si>
  <si>
    <t>Dias</t>
  </si>
  <si>
    <t xml:space="preserve"> QUIMPAC
Ot-2183
Sem 24</t>
  </si>
  <si>
    <t>Almacenes RANSA  
Sem-24</t>
  </si>
  <si>
    <t>Reintg 
Memo 
Sem-24</t>
  </si>
  <si>
    <r>
      <t xml:space="preserve">   Memorandum - Sem 025/2019</t>
    </r>
    <r>
      <rPr>
        <sz val="9"/>
        <rFont val="Draft 15cpi"/>
        <family val="3"/>
      </rPr>
      <t xml:space="preserve">   -   Fecha Ref.: 26/06/2019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</si>
  <si>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 xml:space="preserve"> QUIMPAC
Ot-????
Sem ??</t>
  </si>
  <si>
    <t>Almacenes RANSA  
Sem-25</t>
  </si>
  <si>
    <t>Reintg 
Memo 
Sem-25</t>
  </si>
  <si>
    <t>Cod.│Chofer               │I│Monto  │Reint. │Total  │Observ               │</t>
  </si>
  <si>
    <t>════Ï═════════════════════Ï═Ï═══════Ï═══════Ï═══════Ï═════════════════════¤</t>
  </si>
  <si>
    <t>2D23│ABEL CANDIOTTI CANO  │ │ 476.00│ 150.00│ 626.00│VS03 + BNF 34VJS-RANSA</t>
  </si>
  <si>
    <t xml:space="preserve">    │                     │ │       │       │       │</t>
  </si>
  <si>
    <r>
      <t xml:space="preserve">   Memorandum - Sem 026/2019</t>
    </r>
    <r>
      <rPr>
        <sz val="9"/>
        <rFont val="Draft 15cpi"/>
        <family val="3"/>
      </rPr>
      <t xml:space="preserve">   -   Fecha Ref.: 03/07/2019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</si>
  <si>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Sem-26</t>
  </si>
  <si>
    <t>Reintg 
Memo 
Sem-26</t>
  </si>
  <si>
    <t>Cod.│Chofer                │I│Monto  │Reint. │Total  │Observ              │</t>
  </si>
  <si>
    <t>════Ï══════════════════════Ï═Ï═══════Ï═══════Ï═══════Ï════════════════════¤</t>
  </si>
  <si>
    <t>2D23│ABEL CANDIOTTI CANO   │ │  14.00│   6.00│   20.0│VS04 + BNF 01VJ-RANSA</t>
  </si>
  <si>
    <t>2P15│CORTEZ  CAICUTO, ROGER│ │ 406.00│ 150.00│ 556.00│BNF 29VJS-RANSA</t>
  </si>
  <si>
    <t xml:space="preserve">    │                      │ │       │       │       │</t>
  </si>
  <si>
    <r>
      <t xml:space="preserve">   Memorandum - Sem 027/2019</t>
    </r>
    <r>
      <rPr>
        <sz val="9"/>
        <rFont val="Draft 15cpi"/>
        <family val="3"/>
      </rPr>
      <t xml:space="preserve">   -   Fecha Ref.: 09/07/2019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</si>
  <si>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Sem-27</t>
  </si>
  <si>
    <r>
      <t xml:space="preserve">   Memorandum - Sem 028/2019</t>
    </r>
    <r>
      <rPr>
        <sz val="9"/>
        <rFont val="Draft 15cpi"/>
        <family val="3"/>
      </rPr>
      <t xml:space="preserve">   -   Fecha Ref.: 16/07/2019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</si>
  <si>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Reintg 
Memo 
Sem-28</t>
  </si>
  <si>
    <t>Almacenes RANSA  
Sem-28</t>
  </si>
  <si>
    <t>Reintg 
Memo 
Sem-27</t>
  </si>
  <si>
    <t xml:space="preserve">LAUREANO YAPIAS EMMANUEL </t>
  </si>
  <si>
    <t>Cod.│Chofer                      │I│Monto  │Reint. │Total  │Observ        │</t>
  </si>
  <si>
    <t>════Ï════════════════════════════Ï═Ï═══════Ï═══════Ï═══════Ï══════════════¤</t>
  </si>
  <si>
    <t>2P15│CORTEZ  CAICUTO, ROGER ALEXA│ │  14.00│   6.00│  20.00│BNF 01VJ-RANSA</t>
  </si>
  <si>
    <t>2P16│CASTELLANOS  RODRIGUEZ, REIN│ │  80.00│       │  80.00│</t>
  </si>
  <si>
    <t xml:space="preserve">    │                            │ │       │       │       │</t>
  </si>
  <si>
    <r>
      <t xml:space="preserve">   Memorandum - Sem 029/2019</t>
    </r>
    <r>
      <rPr>
        <sz val="9"/>
        <rFont val="Draft 15cpi"/>
        <family val="3"/>
      </rPr>
      <t xml:space="preserve">   -   Fecha Ref.: 23/07/2019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</si>
  <si>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Sem-29</t>
  </si>
  <si>
    <t>Reintg 
Memo 
Sem-29</t>
  </si>
  <si>
    <t>2P17</t>
  </si>
  <si>
    <t>DUGARTE DUGARTE MARGIORY</t>
  </si>
  <si>
    <t>Cod.│Chofer                     │I│Monto  │Reint. │Total  │Observ         │</t>
  </si>
  <si>
    <t>════Ï═══════════════════════════Ï═Ï═══════Ï═══════Ï═══════Ï═══════════════¤</t>
  </si>
  <si>
    <t>2P16│CASTELLANOS  RODRIGUEZ, REI│ │ 240.00│       │ 240.00│</t>
  </si>
  <si>
    <t>2P17│DUGARTE  DUGARTE, MARGIORY │ │ 462.00│ 150.00│ 612.00│BNF 33VJS-RANSA</t>
  </si>
  <si>
    <t xml:space="preserve">    │                           │ │       │       │       │</t>
  </si>
  <si>
    <r>
      <t xml:space="preserve">   Memorandum - Sem 030/2019</t>
    </r>
    <r>
      <rPr>
        <sz val="9"/>
        <rFont val="Draft 15cpi"/>
        <family val="3"/>
      </rPr>
      <t xml:space="preserve">   -   Fecha Ref.: 31/07/2019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</si>
  <si>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Sem-30</t>
  </si>
  <si>
    <t>Reintg 
Memo 
Sem-30</t>
  </si>
  <si>
    <t>Cod.│Chofer                  │I│Monto  │Reint. │Total  │Observ            │</t>
  </si>
  <si>
    <t>════Ï════════════════════════Ï═Ï═══════Ï═══════Ï═══════Ï══════════════════¤</t>
  </si>
  <si>
    <t>2P15│CORTEZ  CAICUTO, ROGER A│ │ 378.00│ 195.00│ 573.00│BNF 27VJS-RANSA REN</t>
  </si>
  <si>
    <t>2P16│CASTELLANOS  RODRIGUEZ, │ │ 540.00│  39.00│ 579.00│Reintgr 13VJS-QMP 1</t>
  </si>
  <si>
    <t>2P17│DUGARTE  DUGARTE, MARGIO│ │ 434.00│ 150.00│ 584.00│BNF 31VJS-RANSA</t>
  </si>
  <si>
    <t xml:space="preserve">    │                        │ │       │       │       │</t>
  </si>
  <si>
    <r>
      <t xml:space="preserve">   Memorandum - Sem 031/2019</t>
    </r>
    <r>
      <rPr>
        <sz val="9"/>
        <rFont val="Draft 15cpi"/>
        <family val="3"/>
      </rPr>
      <t xml:space="preserve">   -   Fecha Ref.: 07/08/2019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</si>
  <si>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Sem-31</t>
  </si>
  <si>
    <t>Reintg 
Memo 
Sem-31</t>
  </si>
  <si>
    <r>
      <t xml:space="preserve">***  Tope </t>
    </r>
    <r>
      <rPr>
        <b/>
        <sz val="11"/>
        <color rgb="FFC00000"/>
        <rFont val="Arial Rounded MT Bold"/>
        <family val="2"/>
      </rPr>
      <t>NETO</t>
    </r>
    <r>
      <rPr>
        <sz val="11"/>
        <color rgb="FFC00000"/>
        <rFont val="Arial Rounded MT Bold"/>
        <family val="2"/>
      </rPr>
      <t xml:space="preserve">  incluido el feriado S/823.00= (ICC-07-08-2019 11:31)</t>
    </r>
  </si>
  <si>
    <t>al 07/08/2019</t>
  </si>
  <si>
    <t>CATALAN  HUAMANI ANDRADE</t>
  </si>
  <si>
    <t>al ??/??/2019</t>
  </si>
  <si>
    <t>Cod.│Chofer                 │I│Monto  │Reint. │Total  │Observ             │</t>
  </si>
  <si>
    <t>════Ï═══════════════════════Ï═Ï═══════Ï═══════Ï═══════Ï═══════════════════¤</t>
  </si>
  <si>
    <t>2P15│CORTEZ  CAICUTO, ROGER │ │ 616.00│ 150.00│ 766.00│BNF 44VJS-RANSA</t>
  </si>
  <si>
    <t>2P16│CASTELLANOS  RODRIGUEZ,│ │ 360.00│       │ 360.00│S/P 13VJS-QUIMPAC</t>
  </si>
  <si>
    <t xml:space="preserve">    │                       │ │       │       │       │</t>
  </si>
  <si>
    <r>
      <t xml:space="preserve">   Memorandum - Sem 032/2019</t>
    </r>
    <r>
      <rPr>
        <sz val="9"/>
        <rFont val="Draft 15cpi"/>
        <family val="3"/>
      </rPr>
      <t xml:space="preserve">   -   Fecha Ref.: 14/08/2019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</si>
  <si>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Sem-32</t>
  </si>
  <si>
    <t>Reintg 
Memo 
Sem-32</t>
  </si>
  <si>
    <t>Semana │Cod.│Chofer                 │I│Monto  │Reint. │Total  │Observ     │</t>
  </si>
  <si>
    <t>═══════Ï════Ï═══════════════════════Ï═Ï═══════Ï═══════Ï═══════Ï═══════════¤</t>
  </si>
  <si>
    <t>2019320│2D11│DANIEL QUISPE BONIFACIO│ │ 518.00│ 150.00│ 668.00│VS01 + BNF 3</t>
  </si>
  <si>
    <t>2019320│2D17│OMAR GUERRERO CENTURION│ │ 350.00│ 150.00│ 500.00│VS01 + BNF 2</t>
  </si>
  <si>
    <t>2019320│2P05│CAJACURI  CASAS, JUAN M│ │ 504.00│ 150.00│ 654.00│VS01 + BNF 3</t>
  </si>
  <si>
    <t>2019320│2P15│CORTEZ  CAICUTO, ROGER │ │ 462.00│ 150.00│ 612.00│BNF 33VJS-RA</t>
  </si>
  <si>
    <t>2019320│2P17│DUGARTE  DUGARTE, MARGI│ │ 308.00│ 132.00│ 440.00│BNF 22VJS-RA</t>
  </si>
  <si>
    <t xml:space="preserve">       │    │                       │ │       │       │       │</t>
  </si>
  <si>
    <r>
      <t xml:space="preserve">   Memorandum - Sem 033/2019</t>
    </r>
    <r>
      <rPr>
        <sz val="9"/>
        <rFont val="Draft 15cpi"/>
        <family val="3"/>
      </rPr>
      <t xml:space="preserve">   -   Fecha Ref.: 20/08/2019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</si>
  <si>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Sem-33</t>
  </si>
  <si>
    <t>Reintg 
Memo 
Sem-33</t>
  </si>
  <si>
    <t>2D11│DANIEL QUISPE BONIFACIO│ │  56.00│  24.00│  80.00│BNF 04VJS-RANSA</t>
  </si>
  <si>
    <t>2D17│OMAR GUERRERO CENTURION│ │  14.00│   6.00│  20.00│BNF 01VJE-RANSA</t>
  </si>
  <si>
    <t>2P05│JUAN M CAJACURI CASAS  │ │ 560.00│ 150.00│ 710.00│BNF 40VJS-RANSA</t>
  </si>
  <si>
    <t>2P16│CASTELLANOS  RODRIGUEZ,│ │ 400.00│       │ 400.00│</t>
  </si>
  <si>
    <t>2P17│DUGARTE  DUGARTE, MARGI│ │ 336.00│ 144.00│ 480.00│BNF 24VJS-RANSA</t>
  </si>
  <si>
    <r>
      <t xml:space="preserve">   Memorandum - Sem 034/2019</t>
    </r>
    <r>
      <rPr>
        <sz val="9"/>
        <rFont val="Draft 15cpi"/>
        <family val="3"/>
      </rPr>
      <t xml:space="preserve">   -   Fecha Ref.: 27/08/2019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</si>
  <si>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2D11│DANIEL QUISPE BONIFACIO    │ │ 448.00│ 150.00│ 598.00│VS03 + 39VJS-RAN</t>
  </si>
  <si>
    <t>2D17│OMAR GUERRERO CENTURION    │ │ 546.00│ 150.00│ 696.00│VS03 + 39VJS-RAN</t>
  </si>
  <si>
    <t>2P05│JUAN M CAJACURI CASAS      │ │  14.00│   6.00│  20.00│VS03 + 01VJE-RAN</t>
  </si>
  <si>
    <t>2P16│CASTELLANOS  RODRIGUEZ, REI│ │ 280.00│       │ 280.00│</t>
  </si>
  <si>
    <t>2P17│DUGARTE  DUGARTE, MARGIORY │ │ 574.00│ 146.00│ 720.00│BNF 41VJS-RANSA</t>
  </si>
  <si>
    <t>al 28/08/2019</t>
  </si>
  <si>
    <r>
      <t xml:space="preserve">***  Tope </t>
    </r>
    <r>
      <rPr>
        <b/>
        <sz val="11"/>
        <color rgb="FFFF0000"/>
        <rFont val="Arial Rounded MT Bold"/>
        <family val="2"/>
      </rPr>
      <t>NETO</t>
    </r>
    <r>
      <rPr>
        <sz val="11"/>
        <color rgb="FFFF0000"/>
        <rFont val="Arial Rounded MT Bold"/>
        <family val="2"/>
      </rPr>
      <t xml:space="preserve">  S/ 720.00= (ICC-07-08-2019 11:31)</t>
    </r>
  </si>
  <si>
    <t>Almacenes RANSA  
Sem-35</t>
  </si>
  <si>
    <t>Reintg 
Memo 
Sem-35</t>
  </si>
  <si>
    <t>Almacenes RANSA  
Sem-34</t>
  </si>
  <si>
    <t>Reintg 
Memo 
Sem-34</t>
  </si>
  <si>
    <t>2P18</t>
  </si>
  <si>
    <t>ARTEAGA FERNANDEZ ERVIS AUGUSTO</t>
  </si>
  <si>
    <t xml:space="preserve"> QUIMPAC
Ot-2209
Sem 35</t>
  </si>
  <si>
    <t>2D11│DANIEL QUISPE BONIFACIO │ │ 504.00│ 150.00│ 654.00│VS04 + BNF 36VJS-RA</t>
  </si>
  <si>
    <t>2D17│OMAR GUERRERO CENTURION │ │ 420.00│ 150.00│ 570.00│VS04 + BNF 30VJS-RA</t>
  </si>
  <si>
    <t>2P15│CORTEZ  CAICUTO, ROGER A│ │ 380.00│  85.00│ 465.00│BNF 17VJS-QUIMPAC</t>
  </si>
  <si>
    <t>2P16│CASTELLANOS  RODRIGUEZ, │ │ 440.00│  21.00│ 461.00│BNF 07VJS-QUIMPAC</t>
  </si>
  <si>
    <t>2P17│DUGARTE  DUGARTE, MARGIO│ │ 462.00│ 150.00│ 612.00│BNF 33VJS-RANSA</t>
  </si>
  <si>
    <t>2P18│ARTEAGA  FERNANDEZ, ERVI│ │ 260.00│       │  260.0│</t>
  </si>
  <si>
    <r>
      <t xml:space="preserve">   Memorandum - Sem 035/2019</t>
    </r>
    <r>
      <rPr>
        <sz val="9"/>
        <rFont val="Draft 15cpi"/>
        <family val="3"/>
      </rPr>
      <t xml:space="preserve">   -   Fecha Ref.: 04/09/2019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</si>
  <si>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Sem-36</t>
  </si>
  <si>
    <t>Reintg 
Memo 
Sem-36</t>
  </si>
  <si>
    <t>QUIMPAC 
Ot-????
Sem ??</t>
  </si>
  <si>
    <r>
      <t xml:space="preserve">   Memorandum - Sem 037/2019</t>
    </r>
    <r>
      <rPr>
        <sz val="9"/>
        <rFont val="Draft 15cpi"/>
        <family val="3"/>
      </rPr>
      <t xml:space="preserve">   -   Fecha Ref.: 17/09/2019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</si>
  <si>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Sem-37</t>
  </si>
  <si>
    <t>Reintg 
Memo 
Sem-37</t>
  </si>
  <si>
    <t>Cod.│Chofer                    │I│Monto  │Reint. │Total  │Observ          │</t>
  </si>
  <si>
    <t>════Ï══════════════════════════Ï═Ï═══════Ï═══════Ï═══════Ï════════════════¤</t>
  </si>
  <si>
    <t>2P16│CASTELLANOS  RODRIGUEZ, RE│ │ 120.00│       │ 120.00│</t>
  </si>
  <si>
    <t>2P17│DUGARTE  DUGARTE, MARGIORY│ │ 322.00│ 138.00│ 460.00│BNF 23VJS-RANSA</t>
  </si>
  <si>
    <t>2P18│ARTEAGA  FERNANDEZ, ERVIS │ │ 196.00│  84.00│ 280.00│BNF 14VJS-RANSA</t>
  </si>
  <si>
    <t xml:space="preserve">    │                          │ │       │       │       │</t>
  </si>
  <si>
    <r>
      <t xml:space="preserve">   Memorandum - Sem 038/2019</t>
    </r>
    <r>
      <rPr>
        <sz val="9"/>
        <rFont val="Draft 15cpi"/>
        <family val="3"/>
      </rPr>
      <t xml:space="preserve">   -   Fecha Ref.: 24/09/2019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</si>
  <si>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Sem-38</t>
  </si>
  <si>
    <t>Reintg 
Memo 
Sem-38</t>
  </si>
  <si>
    <r>
      <t xml:space="preserve">   Memorandum - Sem 039/2019</t>
    </r>
    <r>
      <rPr>
        <sz val="9"/>
        <rFont val="Draft 15cpi"/>
        <family val="3"/>
      </rPr>
      <t xml:space="preserve">   -   Fecha Ref.: 02/10/2019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</si>
  <si>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QUIMPAC 
Ot-2217/18
Sem 39</t>
  </si>
  <si>
    <t>Almacenes RANSA  
Sem-39</t>
  </si>
  <si>
    <t>Reintg 
Memo 
Sem-39</t>
  </si>
  <si>
    <t>Cod.│Chofer                   │I│Monto  │Reint. │Total  │Observ           │</t>
  </si>
  <si>
    <t>════Ï═════════════════════════Ï═Ï═══════Ï═══════Ï═══════Ï═════════════════¤</t>
  </si>
  <si>
    <t>1D99│MIGUEL VILLANUEVA ROBLES │ │ 350.00│ 150.00│ 500.00│VS04+BNF 25VJS-RAN</t>
  </si>
  <si>
    <t>2P06│GOMEZ  URBANO, LUIS ALBER│ │ 320.00│  72.00│ 392.00│VS04+BNF 24VJS-QUI</t>
  </si>
  <si>
    <t>2P15│CORTEZ  CAICUTO, ROGER AL│ │ 180.00│       │ 180.00│</t>
  </si>
  <si>
    <t>2P16│CASTELLANOS  RODRIGUEZ, R│ │ 460.00│       │ 460.00│</t>
  </si>
  <si>
    <t>2P17│DUGARTE  DUGARTE, MARGIOR│ │ 406.00│ 150.00│ 556.00│BNF 29VJS-RANSA</t>
  </si>
  <si>
    <t>2P18│ARTEAGA  FERNANDEZ, ERVIS│ │ 200.00│       │ 200.00│</t>
  </si>
  <si>
    <t xml:space="preserve">    │                         │ │       │       │       │</t>
  </si>
  <si>
    <r>
      <t xml:space="preserve">   Memorandum - Sem 040/2019</t>
    </r>
    <r>
      <rPr>
        <sz val="9"/>
        <rFont val="Draft 15cpi"/>
        <family val="3"/>
      </rPr>
      <t xml:space="preserve">   -   Fecha Ref.: 09/10/2019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</si>
  <si>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QUIMPAC 
Ot-2217/18
Sem 40</t>
  </si>
  <si>
    <t>Almacenes RANSA  
Sem-40</t>
  </si>
  <si>
    <t>Reintg 
Memo 
Sem-40</t>
  </si>
  <si>
    <t>1D98│ANTENOR CAMARA ORIZANO  │ │ 300.00│ 150.00│  450.0│VS01 + BNF 25VJS-RA</t>
  </si>
  <si>
    <t>2D08│DAVID BARROSO LOMOTE    │ │ 420.00│ 150.00│ 570.00│VS01 + BNF 30VJS-RA</t>
  </si>
  <si>
    <t>2D22│PEDRO RAFAELLE QUIROZ   │ │ 490.00│ 150.00│ 640.00│VS01 + BNF 35VJS-RA</t>
  </si>
  <si>
    <t>2P16│CASTELLANOS  RODRIGUEZ, │ │  60.00│       │  60.00│</t>
  </si>
  <si>
    <t>2P18│ARTEAGA  FERNANDEZ, ERVI│ │ 276.00│  40.00│ 316.00│BNF xESPERA + rtVAC</t>
  </si>
  <si>
    <r>
      <t xml:space="preserve">   Memorandum - Sem 041/2019</t>
    </r>
    <r>
      <rPr>
        <sz val="9"/>
        <rFont val="Draft 15cpi"/>
        <family val="3"/>
      </rPr>
      <t xml:space="preserve">   -   Fecha Ref.: 15/10/2019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</si>
  <si>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1D98│ANTENOR CAMARA ORIZANO│ │ 406.00│ 150.00│  556.0│VS02 + BNF 29VJS-RANS</t>
  </si>
  <si>
    <t>2D08│DAVID BARROSO LOMOTE  │ │ 350.00│ 150.00│ 500.00│VS02 + BNF 25VJS-RANS</t>
  </si>
  <si>
    <t>2P18│ARTEAGA  FERNANDEZ, ER│ │ 294.00│ 126.00│ 420.00│BNF 21VJS-RANSA</t>
  </si>
  <si>
    <r>
      <t xml:space="preserve">   Memorandum - Sem 042/2019</t>
    </r>
    <r>
      <rPr>
        <sz val="9"/>
        <rFont val="Draft 15cpi"/>
        <family val="3"/>
      </rPr>
      <t xml:space="preserve">   -   Fecha Ref.: 22/10/2019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</si>
  <si>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Sem-42</t>
  </si>
  <si>
    <t>Reintg 
Memo 
Sem-42</t>
  </si>
  <si>
    <t>Cod.│Chofer             │I│Monto  │Reint. │Total  │Observ                 │</t>
  </si>
  <si>
    <t>════Ï═══════════════════Ï═Ï═══════Ï═══════Ï═══════Ï═══════════════════════¤</t>
  </si>
  <si>
    <t>1D81│GUILLERMO PAREDES L│ │  88.00│       │  88.00│RNTG-S41</t>
  </si>
  <si>
    <t>1D98│ANTENOR CAMARA ORIZ│ │ 364.00│ 150.00│ 514.00│VS03 + BNF 26VJS-RANSA</t>
  </si>
  <si>
    <t>2D08│DAVID BARROSO LOMOT│ │ 308.00│ 132.00│ 132.00│VS03 + BNF 22VJS-RANSA</t>
  </si>
  <si>
    <t>2P06│LUIS GOMEZ URBANO  │ │  56.00│       │  56.00│RNTG-S41</t>
  </si>
  <si>
    <t>2P18│ARTEAGA  FERNANDEZ,│ │ 294.00│ 190.00│  484.0│BNF 21VJS-RANSA RNTG-S41</t>
  </si>
  <si>
    <t xml:space="preserve">    │                   │ │       │       │       │</t>
  </si>
  <si>
    <r>
      <t xml:space="preserve">   Memorandum - Sem 043/2019</t>
    </r>
    <r>
      <rPr>
        <sz val="9"/>
        <rFont val="Draft 15cpi"/>
        <family val="3"/>
      </rPr>
      <t xml:space="preserve">   -   Fecha Ref.: 29/10/2019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</si>
  <si>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Sem-43</t>
  </si>
  <si>
    <t>Reintg 
Memo 
Sem-43</t>
  </si>
  <si>
    <t>Cod. │Chofer                   │I│Monto  │Reint. │Total  │Observ          │</t>
  </si>
  <si>
    <t>═════Ï═════════════════════════Ï═Ï═══════Ï═══════Ï═══════Ï════════════════¤</t>
  </si>
  <si>
    <t>2P18 │ARTEAGA  FERNANDEZ, ERVIS│ │ 252.00│ 108.00│  360.0│BNF 18VJS-RANSA</t>
  </si>
  <si>
    <t xml:space="preserve">     │                         │ │       │       │       │</t>
  </si>
  <si>
    <t>Almacenes RANSA  
Sem-44</t>
  </si>
  <si>
    <t>Reintg 
Memo 
Sem-44</t>
  </si>
  <si>
    <r>
      <t xml:space="preserve">   Memorandum - Sem 044/2019</t>
    </r>
    <r>
      <rPr>
        <sz val="9"/>
        <rFont val="Draft 15cpi"/>
        <family val="3"/>
      </rPr>
      <t xml:space="preserve">   -   Fecha Ref.: 06/11/2019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</si>
  <si>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2P19</t>
  </si>
  <si>
    <t>CARRASCO SERRATO EDU</t>
  </si>
  <si>
    <t>1D24│JUAN C ASMAT SIGUEÑAS    │ │ 532.00│ 150.00│ 682.00│VS01 + BNF 38VJS-R</t>
  </si>
  <si>
    <t>1D61│JORGE HINOSTROZA VALLADAR│ │ 574.00│ 146.00│ 720.00│VS01 + BNF 41VJS-R</t>
  </si>
  <si>
    <t>2D14│RUFINO CHAMBI HERRERA    │ │  14.00│   6.00│  20.00│VS01 + BNF 01VJS-R</t>
  </si>
  <si>
    <t>2P07│ARROYO  VENTOCILLA, BORIS│ │ 518.00│ 150.00│ 668.00│VS01 + BNF 37VJS-R</t>
  </si>
  <si>
    <t>2P18│ARTEAGA  FERNANDEZ, ERVIS│ │ 420.00│ 150.00│ 570.00│BNF 30VJS-RANSA</t>
  </si>
  <si>
    <t>2P19│CARRASCO  SERRATO, EDU   │ │ 294.00│ 126.00│ 420.00│BNF 21VJS-RANSA</t>
  </si>
  <si>
    <t>Almacenes RANSA  
Sem-45</t>
  </si>
  <si>
    <t>Reintg 
Memo 
Sem-45</t>
  </si>
  <si>
    <t>2P20</t>
  </si>
  <si>
    <t>PAREDES LUQUE MELQUIADES</t>
  </si>
  <si>
    <t>MIXERCON 
Ot-2236
Sem 45</t>
  </si>
  <si>
    <t>1D24│JUAN C ASMAT SIGUEÑAS│ │ 336.00│ 144.00│ 480.00│VS02 + BNF 24VJS-RANSA</t>
  </si>
  <si>
    <t>1D61│JORGE HINOSTROZA VALL│ │ 294.00│ 126.00│ 420.00│VS02 + BNF 21VJS-RANSA</t>
  </si>
  <si>
    <t>2D14│RUFINO CHAMBI HERRERA│ │ 320.00│  48.00│ 368.00│VS02 + BNF 16VJS-MIXER</t>
  </si>
  <si>
    <t>2P19│CARRASCO  SERRATO, ED│ │ 224.00│  96.00│ 320.00│BNF 16VJS-RANSA</t>
  </si>
  <si>
    <t>2P20│PAREDES  LUQUE, MELQU│ │ 240.00│   0.00│ 240.00│00 x 12VJS-MIXERCON</t>
  </si>
  <si>
    <r>
      <t xml:space="preserve">   Memorandum - Sem 046/2019</t>
    </r>
    <r>
      <rPr>
        <sz val="9"/>
        <rFont val="Draft 15cpi"/>
        <family val="3"/>
      </rPr>
      <t xml:space="preserve">   -   Fecha Ref.: 19/11/2019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</si>
  <si>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MIXERCON 
Ot-2236
Sem ??</t>
  </si>
  <si>
    <t>Almacenes RANSA  
Sem-46</t>
  </si>
  <si>
    <t>Reintg 
Memo 
Sem-46</t>
  </si>
  <si>
    <t>1D24│JUAN C ASMAT SIGUEÑAS  │ │ 406.00│ 150.00│ 556.00│VS03 + BNF 31VJS-RAN</t>
  </si>
  <si>
    <t>2P19│CARRASCO  SERRATO, EDU │ │ 294.00│ 126.00│ 420.00│BNF 21VJS-RANSA</t>
  </si>
  <si>
    <t>2P20│PAREDES  LUQUE, MELQUIA│ │ 280.00│ 120.00│ 400.00│BNF 20VJS-RANSA</t>
  </si>
  <si>
    <r>
      <t xml:space="preserve">   Memorandum - Sem 046/2019</t>
    </r>
    <r>
      <rPr>
        <sz val="9"/>
        <rFont val="Draft 15cpi"/>
        <family val="3"/>
      </rPr>
      <t xml:space="preserve">   -   Fecha Ref.: 26/11/2019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</si>
  <si>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Sem-47</t>
  </si>
  <si>
    <t>Reintg 
Memo 
Sem-47</t>
  </si>
  <si>
    <t>Cod.│Chofer                   │I│Monto │Reint.│Total │Observ              │</t>
  </si>
  <si>
    <t>════Ï═════════════════════════Ï═Ï══════Ï══════Ï══════Ï════════════════════¤</t>
  </si>
  <si>
    <t>1D24│JUAN C ASMAT SIGUEÑAS    │ │434.00│150.00│584.00│VS04 + BNF 31VJS-RANS</t>
  </si>
  <si>
    <t>1D61│JORGE HINOSTROZA VALLADAR│ │160.00│      │160.00│VS04</t>
  </si>
  <si>
    <t>2D14│RUFINO CHAMBI HERRERA    │ │364.00│150.00│514.00│VS04 + BNF 26VJS-RANS</t>
  </si>
  <si>
    <t>2P07│ARROYO  VENTOCILLA, BORIS│ │420.00│150.00│570.00│BNF 30VJS-RANSA</t>
  </si>
  <si>
    <t>2P19│CARRASCO  SERRATO, EDU   │ │308.00│132.00│440.00│BNF 22VJS-RANSA</t>
  </si>
  <si>
    <t>2P20│PAREDES  LUQUE, MELQUIADE│ │294.00│126.00│420.00│BNF 21VJS-RANSA</t>
  </si>
  <si>
    <t xml:space="preserve">    │                         │ │      │      │      │</t>
  </si>
  <si>
    <t>Almacenes RANSA  
Sem-48</t>
  </si>
  <si>
    <t>Reintg 
Memo 
Sem-48</t>
  </si>
  <si>
    <t>MIXERCON 
Ot-2246
Sem 48</t>
  </si>
  <si>
    <t>Cod.│Chofer              │I│Monto  │Reint. │Total  │Observ                │</t>
  </si>
  <si>
    <t>════Ï════════════════════Ï═Ï═══════Ï═══════Ï═══════Ï══════════════════════¤</t>
  </si>
  <si>
    <t>1D24│JUAN C ASMAT SIGUEÑA│ │ 476.00│ 150.00│ 626.00│VS04 + BNF 34VJS-RANSA</t>
  </si>
  <si>
    <t>1D61│JORGE HINOSTROZA VAL│ │ 740.00│  84.00│ 824.00│VS04 + BNF 28VJS-MIXERC</t>
  </si>
  <si>
    <t>2D14│RUFINO CHAMBI HERRER│ │ 434.00│ 150.00│ 584.00│VS04 + BNF 31VJS-RANSA</t>
  </si>
  <si>
    <t>2P07│ARROYO  VENTOCILLA, │ │ 406.00│ 150.00│ 556.00│VS04 + BNF 29VJS-RANSA</t>
  </si>
  <si>
    <t>2P20│PAREDES  LUQUE, MELQ│ │ 294.00│ 126.00│ 420.00│       BNF 21VJS-RANSA</t>
  </si>
  <si>
    <t xml:space="preserve">    │                    │ │       │       │       │</t>
  </si>
  <si>
    <t>IMPTO. 
5TA 
CATEG.  (4200)</t>
  </si>
  <si>
    <r>
      <t xml:space="preserve">   Memorandum - Sem 048/2019</t>
    </r>
    <r>
      <rPr>
        <sz val="9"/>
        <rFont val="Draft 15cpi"/>
        <family val="3"/>
      </rPr>
      <t xml:space="preserve">   -   Fecha Ref.: 04/12/2019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</si>
  <si>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r>
      <t xml:space="preserve">   Memorandum - Sem 049/2019</t>
    </r>
    <r>
      <rPr>
        <sz val="9"/>
        <rFont val="Draft 15cpi"/>
        <family val="3"/>
      </rPr>
      <t xml:space="preserve">   -   Fecha Ref.: 10/12/2019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</si>
  <si>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Almacenes RANSA  
Sem-49</t>
  </si>
  <si>
    <t>Reintg 
Memo 
Sem-49</t>
  </si>
  <si>
    <t>QUIMPAC 
Ot-2248
Sem 49</t>
  </si>
  <si>
    <t>SEGUTRUCK
Ot-2249   
Sem 49</t>
  </si>
  <si>
    <t>SEM-48</t>
  </si>
  <si>
    <t>Cod.│Chofer                 │I│Monto │Reint.│Total │Observ                │</t>
  </si>
  <si>
    <t>════Ï═══════════════════════Ï═Ï══════Ï══════Ï══════Ï══════════════════════¤</t>
  </si>
  <si>
    <t>2P13│EDUARDO MARMOLES URREA │ │      │ 60.00│ 60.00│BNF S-48 12VJS-QUIMPAC</t>
  </si>
  <si>
    <t xml:space="preserve">    │                       │ │      │      │      │</t>
  </si>
  <si>
    <t>SEGUTRUCK
Ot-2249   
Sem ??</t>
  </si>
  <si>
    <t>QUIMPAC 
Ot-2248
Sem ??</t>
  </si>
  <si>
    <t>Almacenes RANSA  
Sem-50</t>
  </si>
  <si>
    <r>
      <t xml:space="preserve">   Memorandum - Sem 050/2019</t>
    </r>
    <r>
      <rPr>
        <sz val="9"/>
        <rFont val="Draft 15cpi"/>
        <family val="3"/>
      </rPr>
      <t xml:space="preserve">   -   Fecha Ref.: 17/12/2019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</si>
  <si>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2019500│     │***  SIN EVENTUALES ***       │   │        │        │</t>
  </si>
  <si>
    <t>2019500│     │                              │   │        │        │</t>
  </si>
  <si>
    <r>
      <t xml:space="preserve">   Memorandum - Sem 051/2019</t>
    </r>
    <r>
      <rPr>
        <sz val="9"/>
        <rFont val="Draft 15cpi"/>
        <family val="3"/>
      </rPr>
      <t xml:space="preserve">   -   Fecha Ref.: 24/12/2019           ***     </t>
    </r>
    <r>
      <rPr>
        <b/>
        <sz val="9"/>
        <rFont val="Draft 15cpi"/>
        <family val="3"/>
      </rPr>
      <t xml:space="preserve">A N E X O  </t>
    </r>
    <r>
      <rPr>
        <sz val="9"/>
        <rFont val="Draft 15cpi"/>
        <family val="3"/>
      </rPr>
      <t>***</t>
    </r>
  </si>
  <si>
    <t>SEGUTRUCK
Ot-???   
Sem ??</t>
  </si>
  <si>
    <t>Almacenes RANSA  
Sem-51</t>
  </si>
  <si>
    <t>Reintg 
Memo 
Sem-51</t>
  </si>
  <si>
    <t>QUIMPAC 
Ot-2254
Sem 51</t>
  </si>
  <si>
    <t>2019510│     │***  SIN EVENTUALES ***       │   │        │        │</t>
  </si>
  <si>
    <t>2019510│     │                              │   │        │        │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</si>
</sst>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164" formatCode="_ &quot;S/.&quot;\ * #,##0.00_ ;_ &quot;S/.&quot;\ * \-#,##0.00_ ;_ &quot;S/.&quot;\ * &quot;-&quot;??_ ;_ @_ "/>
    <numFmt numFmtId="165" formatCode="ddd\ dd/mm/yyyy;@"/>
    <numFmt numFmtId="166" formatCode="0.0000"/>
    <numFmt numFmtId="167" formatCode="[$-F800]dddd\,\ mmmm\ dd\,\ yyyy"/>
    <numFmt numFmtId="168" formatCode="ddd\ dd\-mmm"/>
  </numFmts>
  <fonts count="120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8"/>
      <name val="Draft 15cpi"/>
      <family val="3"/>
    </font>
    <font>
      <b/>
      <sz val="8"/>
      <name val="Draft 15cpi"/>
      <family val="3"/>
    </font>
    <font>
      <sz val="10"/>
      <name val="Draft 15cpi"/>
      <family val="3"/>
    </font>
    <font>
      <b/>
      <sz val="10"/>
      <name val="Draft 15cpi"/>
      <family val="3"/>
    </font>
    <font>
      <sz val="10"/>
      <color rgb="FF0000FF"/>
      <name val="Arial"/>
      <family val="2"/>
    </font>
    <font>
      <sz val="10"/>
      <color rgb="FFFF0000"/>
      <name val="Draft 15cpi"/>
      <family val="3"/>
    </font>
    <font>
      <b/>
      <sz val="10"/>
      <color rgb="FFFF0000"/>
      <name val="Draft 15cpi"/>
      <family val="3"/>
    </font>
    <font>
      <sz val="10"/>
      <color rgb="FF0000FF"/>
      <name val="Draft 15cpi"/>
      <family val="3"/>
    </font>
    <font>
      <b/>
      <sz val="10"/>
      <color rgb="FF0000FF"/>
      <name val="Draft 15cpi"/>
      <family val="3"/>
    </font>
    <font>
      <sz val="8"/>
      <color rgb="FFFF0000"/>
      <name val="Draft 15cpi"/>
      <family val="3"/>
    </font>
    <font>
      <b/>
      <sz val="10"/>
      <color rgb="FFFF0000"/>
      <name val="Arial"/>
      <family val="2"/>
    </font>
    <font>
      <b/>
      <sz val="10"/>
      <color theme="0" tint="-0.14999847407452621"/>
      <name val="Draft 15cpi"/>
      <family val="3"/>
    </font>
    <font>
      <sz val="8"/>
      <color rgb="FF0000FF"/>
      <name val="Draft 15cpi"/>
      <family val="3"/>
    </font>
    <font>
      <sz val="9"/>
      <name val="Draft 15cpi"/>
      <family val="3"/>
    </font>
    <font>
      <sz val="8"/>
      <name val="Arial Narrow"/>
      <family val="2"/>
    </font>
    <font>
      <b/>
      <sz val="10"/>
      <color rgb="FFFF0000"/>
      <name val="Arial Narrow"/>
      <family val="2"/>
    </font>
    <font>
      <sz val="10"/>
      <name val="Centaur"/>
      <family val="1"/>
    </font>
    <font>
      <sz val="11"/>
      <name val="Centaur"/>
      <family val="1"/>
    </font>
    <font>
      <sz val="10"/>
      <color theme="1"/>
      <name val="Calibri"/>
      <family val="2"/>
      <scheme val="minor"/>
    </font>
    <font>
      <sz val="10"/>
      <color theme="0" tint="-0.34998626667073579"/>
      <name val="Draft 15cpi"/>
      <family val="3"/>
    </font>
    <font>
      <sz val="10"/>
      <color theme="0" tint="-0.249977111117893"/>
      <name val="Draft 15cpi"/>
      <family val="3"/>
    </font>
    <font>
      <sz val="7"/>
      <name val="Arial Narrow"/>
      <family val="2"/>
    </font>
    <font>
      <b/>
      <sz val="8"/>
      <color rgb="FF0000FF"/>
      <name val="Draft 15cpi"/>
      <family val="3"/>
    </font>
    <font>
      <sz val="8"/>
      <color theme="1"/>
      <name val="Draft 15cpi"/>
      <family val="3"/>
    </font>
    <font>
      <u/>
      <sz val="9"/>
      <name val="Draft 15cpi"/>
      <family val="3"/>
    </font>
    <font>
      <b/>
      <sz val="9"/>
      <name val="Draft 15cpi"/>
      <family val="3"/>
    </font>
    <font>
      <b/>
      <sz val="8"/>
      <color rgb="FFC00000"/>
      <name val="Draft 15cpi"/>
      <family val="3"/>
    </font>
    <font>
      <b/>
      <sz val="11"/>
      <color theme="1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9900FF"/>
      <name val="Draft 15cpi"/>
      <family val="3"/>
    </font>
    <font>
      <b/>
      <u/>
      <sz val="9"/>
      <name val="Draft 15cpi"/>
      <family val="3"/>
    </font>
    <font>
      <sz val="11"/>
      <color theme="1"/>
      <name val="Courier New"/>
      <family val="3"/>
    </font>
    <font>
      <b/>
      <sz val="8"/>
      <color theme="9" tint="0.59999389629810485"/>
      <name val="Draft 15cpi"/>
      <family val="3"/>
    </font>
    <font>
      <sz val="8"/>
      <color theme="9" tint="0.59999389629810485"/>
      <name val="Draft 15cpi"/>
      <family val="3"/>
    </font>
    <font>
      <sz val="10"/>
      <color theme="9" tint="0.59999389629810485"/>
      <name val="Draft 15cpi"/>
      <family val="3"/>
    </font>
    <font>
      <b/>
      <sz val="10"/>
      <color theme="9" tint="0.59999389629810485"/>
      <name val="Draft 15cpi"/>
      <family val="3"/>
    </font>
    <font>
      <sz val="10"/>
      <color rgb="FF9900FF"/>
      <name val="Draft 15cpi"/>
      <family val="3"/>
    </font>
    <font>
      <sz val="6"/>
      <color rgb="FF6600FF"/>
      <name val="Calibri"/>
      <family val="2"/>
      <scheme val="minor"/>
    </font>
    <font>
      <sz val="7"/>
      <color rgb="FF6600FF"/>
      <name val="Calibri"/>
      <family val="2"/>
      <scheme val="minor"/>
    </font>
    <font>
      <sz val="10"/>
      <color rgb="FFC00000"/>
      <name val="Draft 15cpi"/>
      <family val="3"/>
    </font>
    <font>
      <b/>
      <sz val="10"/>
      <color rgb="FFC00000"/>
      <name val="Draft 15cpi"/>
      <family val="3"/>
    </font>
    <font>
      <b/>
      <sz val="8"/>
      <color rgb="FFC00000"/>
      <name val="Draft 15cpi"/>
      <family val="3"/>
    </font>
    <font>
      <b/>
      <sz val="8"/>
      <name val="Arial Narrow"/>
      <family val="2"/>
    </font>
    <font>
      <b/>
      <i/>
      <sz val="11"/>
      <color theme="1"/>
      <name val="Calibri"/>
      <family val="2"/>
      <scheme val="minor"/>
    </font>
    <font>
      <b/>
      <sz val="9"/>
      <name val="Arial Narrow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Arial Black"/>
      <family val="2"/>
    </font>
    <font>
      <sz val="8"/>
      <color rgb="FFC00000"/>
      <name val="Draft 15cpi"/>
      <family val="3"/>
    </font>
    <font>
      <sz val="8"/>
      <name val="Calibri"/>
      <family val="2"/>
      <scheme val="minor"/>
    </font>
    <font>
      <sz val="8"/>
      <color rgb="FFFF0000"/>
      <name val="Draft 15cpi"/>
      <family val="3"/>
    </font>
    <font>
      <sz val="7"/>
      <color rgb="FF0000FF"/>
      <name val="Draft 15cpi"/>
      <family val="3"/>
    </font>
    <font>
      <sz val="10"/>
      <color rgb="FF6600FF"/>
      <name val="Draft 15cpi"/>
      <family val="3"/>
    </font>
    <font>
      <sz val="7"/>
      <color rgb="FF6600FF"/>
      <name val="Draft 15cpi"/>
      <family val="3"/>
    </font>
    <font>
      <sz val="8"/>
      <color rgb="FFCC00FF"/>
      <name val="Draft 15cpi"/>
      <family val="3"/>
    </font>
    <font>
      <sz val="10"/>
      <color rgb="FFCC00FF"/>
      <name val="Draft 15cpi"/>
      <family val="3"/>
    </font>
    <font>
      <b/>
      <sz val="10"/>
      <color rgb="FFCC00FF"/>
      <name val="Draft 15cpi"/>
      <family val="3"/>
    </font>
    <font>
      <sz val="9"/>
      <color rgb="FF0000FF"/>
      <name val="Draft 15cpi"/>
      <family val="3"/>
    </font>
    <font>
      <sz val="9"/>
      <color rgb="FFFF0000"/>
      <name val="Draft 15cpi"/>
      <family val="3"/>
    </font>
    <font>
      <sz val="10"/>
      <color theme="1"/>
      <name val="Courier"/>
      <family val="3"/>
    </font>
    <font>
      <sz val="8"/>
      <color theme="0" tint="-0.249977111117893"/>
      <name val="Draft 15cpi"/>
      <family val="3"/>
    </font>
    <font>
      <b/>
      <sz val="10"/>
      <color theme="0" tint="-0.249977111117893"/>
      <name val="Draft 15cpi"/>
      <family val="3"/>
    </font>
    <font>
      <b/>
      <sz val="10"/>
      <color rgb="FF6600FF"/>
      <name val="Draft 15cpi"/>
      <family val="3"/>
    </font>
    <font>
      <sz val="11"/>
      <name val="Calibri"/>
      <family val="2"/>
      <scheme val="minor"/>
    </font>
    <font>
      <sz val="7"/>
      <color rgb="FFC00000"/>
      <name val="Draft 15cpi"/>
      <family val="3"/>
    </font>
    <font>
      <sz val="8"/>
      <color rgb="FF9933FF"/>
      <name val="Draft 15cpi"/>
      <family val="3"/>
    </font>
    <font>
      <sz val="7"/>
      <color rgb="FF9933FF"/>
      <name val="Draft 15cpi"/>
      <family val="3"/>
    </font>
    <font>
      <sz val="10"/>
      <color rgb="FF9933FF"/>
      <name val="Draft 15cpi"/>
      <family val="3"/>
    </font>
    <font>
      <sz val="7"/>
      <color rgb="FFFF0000"/>
      <name val="Draft 15cpi"/>
      <family val="3"/>
    </font>
    <font>
      <sz val="11"/>
      <color theme="1"/>
      <name val="Calibri"/>
      <family val="2"/>
      <scheme val="minor"/>
    </font>
    <font>
      <sz val="10"/>
      <color theme="9" tint="-0.499984740745262"/>
      <name val="Draft 15cpi"/>
      <family val="3"/>
    </font>
    <font>
      <b/>
      <sz val="10"/>
      <color theme="9" tint="-0.499984740745262"/>
      <name val="Draft 15cpi"/>
      <family val="3"/>
    </font>
    <font>
      <sz val="9"/>
      <color theme="9" tint="-0.499984740745262"/>
      <name val="Draft 15cpi"/>
      <family val="3"/>
    </font>
    <font>
      <sz val="11"/>
      <color rgb="FFC00000"/>
      <name val="Arial Rounded MT Bold"/>
      <family val="2"/>
    </font>
    <font>
      <b/>
      <sz val="11"/>
      <color rgb="FFC00000"/>
      <name val="Arial Rounded MT Bold"/>
      <family val="2"/>
    </font>
    <font>
      <sz val="11"/>
      <color rgb="FF0016EA"/>
      <name val="Draft 15cpi"/>
      <family val="3"/>
    </font>
    <font>
      <b/>
      <sz val="11"/>
      <color rgb="FF0016EA"/>
      <name val="Draft 15cpi"/>
      <family val="3"/>
    </font>
    <font>
      <b/>
      <i/>
      <sz val="11"/>
      <color theme="1"/>
      <name val="Arial"/>
      <family val="2"/>
    </font>
    <font>
      <sz val="9"/>
      <name val="Draft 15cpi"/>
      <family val="3"/>
    </font>
    <font>
      <sz val="10"/>
      <color theme="1"/>
      <name val="Courier New"/>
      <family val="3"/>
    </font>
    <font>
      <sz val="11"/>
      <color rgb="FFFF0000"/>
      <name val="Draft 15cpi"/>
      <family val="3"/>
    </font>
    <font>
      <sz val="11"/>
      <color rgb="FFFF0000"/>
      <name val="Arial Rounded MT Bold"/>
      <family val="2"/>
    </font>
    <font>
      <b/>
      <sz val="11"/>
      <color rgb="FFFF0000"/>
      <name val="Arial Rounded MT Bold"/>
      <family val="2"/>
    </font>
    <font>
      <b/>
      <sz val="9"/>
      <name val="Arial"/>
      <family val="2"/>
    </font>
    <font>
      <sz val="8"/>
      <color theme="5" tint="0.39997558519241921"/>
      <name val="Draft 15cpi"/>
      <family val="3"/>
    </font>
    <font>
      <sz val="7"/>
      <color theme="5" tint="0.39997558519241921"/>
      <name val="Draft 15cpi"/>
      <family val="3"/>
    </font>
    <font>
      <sz val="10"/>
      <color theme="5" tint="0.39997558519241921"/>
      <name val="Draft 15cpi"/>
      <family val="3"/>
    </font>
    <font>
      <sz val="8"/>
      <color theme="5" tint="-0.249977111117893"/>
      <name val="Draft 15cpi"/>
      <family val="3"/>
    </font>
    <font>
      <sz val="10"/>
      <color theme="5" tint="-0.249977111117893"/>
      <name val="Draft 15cpi"/>
      <family val="3"/>
    </font>
    <font>
      <b/>
      <sz val="10"/>
      <color theme="5" tint="-0.249977111117893"/>
      <name val="Draft 15cpi"/>
      <family val="3"/>
    </font>
    <font>
      <sz val="11"/>
      <name val="Draft 15cpi"/>
      <family val="3"/>
    </font>
    <font>
      <sz val="8"/>
      <color theme="5" tint="0.59999389629810485"/>
      <name val="Draft 15cpi"/>
      <family val="3"/>
    </font>
    <font>
      <sz val="10"/>
      <color theme="5" tint="0.59999389629810485"/>
      <name val="Draft 15cpi"/>
      <family val="3"/>
    </font>
    <font>
      <b/>
      <sz val="10"/>
      <color theme="5" tint="0.59999389629810485"/>
      <name val="Draft 15cpi"/>
      <family val="3"/>
    </font>
    <font>
      <sz val="9"/>
      <color rgb="FF0016EA"/>
      <name val="Draft 15cpi"/>
      <family val="3"/>
    </font>
    <font>
      <sz val="12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theme="9" tint="0.39997558519241921"/>
      <name val="Draft 15cpi"/>
      <family val="3"/>
    </font>
    <font>
      <sz val="10"/>
      <color theme="9" tint="0.39997558519241921"/>
      <name val="Draft 15cpi"/>
      <family val="3"/>
    </font>
    <font>
      <b/>
      <sz val="10"/>
      <color theme="9" tint="0.39997558519241921"/>
      <name val="Draft 15cpi"/>
      <family val="3"/>
    </font>
    <font>
      <b/>
      <sz val="7"/>
      <color rgb="FF6600FF"/>
      <name val="Calibri"/>
      <family val="2"/>
      <scheme val="minor"/>
    </font>
    <font>
      <b/>
      <sz val="10"/>
      <color theme="9" tint="-0.499984740745262"/>
      <name val="Draft 15cpi"/>
    </font>
    <font>
      <b/>
      <sz val="7"/>
      <color rgb="FF0000FF"/>
      <name val="Draft 15cpi"/>
      <family val="3"/>
    </font>
    <font>
      <sz val="8"/>
      <color rgb="FF0000FF"/>
      <name val="Draft 15cpi"/>
    </font>
    <font>
      <sz val="6"/>
      <name val="Draft 15cpi"/>
      <family val="3"/>
    </font>
    <font>
      <sz val="8"/>
      <color rgb="FF006666"/>
      <name val="Draft 15cpi"/>
      <family val="3"/>
    </font>
    <font>
      <sz val="7"/>
      <color rgb="FF006666"/>
      <name val="Draft 15cpi"/>
      <family val="3"/>
    </font>
    <font>
      <sz val="10"/>
      <color rgb="FF006666"/>
      <name val="Draft 15cpi"/>
      <family val="3"/>
    </font>
    <font>
      <b/>
      <sz val="10"/>
      <color rgb="FF006666"/>
      <name val="Draft 15cpi"/>
      <family val="3"/>
    </font>
    <font>
      <b/>
      <sz val="8"/>
      <name val="Draft 15cpi"/>
    </font>
    <font>
      <sz val="9"/>
      <color rgb="FFC00000"/>
      <name val="Draft 15cpi"/>
    </font>
    <font>
      <sz val="10"/>
      <color rgb="FF006666"/>
      <name val="Draft 15cpi"/>
    </font>
    <font>
      <sz val="10"/>
      <color rgb="FF0000FF"/>
      <name val="Draft 15cpi"/>
    </font>
    <font>
      <b/>
      <sz val="8"/>
      <color theme="1"/>
      <name val="Draft 15cpi"/>
      <family val="3"/>
    </font>
    <font>
      <sz val="8"/>
      <name val="Draft 15cpi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66"/>
        <bgColor indexed="64"/>
      </patternFill>
    </fill>
    <fill>
      <gradientFill degree="90">
        <stop position="0">
          <color theme="0"/>
        </stop>
        <stop position="1">
          <color rgb="FFFFFFCC"/>
        </stop>
      </gradient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43" fontId="73" fillId="0" borderId="0" applyFont="0" applyFill="0" applyBorder="0" applyAlignment="0" applyProtection="0"/>
  </cellStyleXfs>
  <cellXfs count="440">
    <xf numFmtId="0" fontId="0" fillId="0" borderId="0" xfId="0"/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1" fillId="0" borderId="0" xfId="0" applyFont="1" applyAlignment="1">
      <alignment horizontal="center"/>
    </xf>
    <xf numFmtId="164" fontId="0" fillId="0" borderId="0" xfId="0" applyNumberFormat="1"/>
    <xf numFmtId="0" fontId="6" fillId="0" borderId="13" xfId="0" applyFont="1" applyBorder="1" applyAlignment="1">
      <alignment horizontal="center"/>
    </xf>
    <xf numFmtId="3" fontId="6" fillId="0" borderId="6" xfId="0" applyNumberFormat="1" applyFont="1" applyBorder="1" applyAlignment="1">
      <alignment horizontal="center"/>
    </xf>
    <xf numFmtId="4" fontId="6" fillId="0" borderId="4" xfId="0" applyNumberFormat="1" applyFont="1" applyBorder="1"/>
    <xf numFmtId="164" fontId="8" fillId="0" borderId="0" xfId="0" applyNumberFormat="1" applyFont="1"/>
    <xf numFmtId="4" fontId="6" fillId="0" borderId="4" xfId="0" applyNumberFormat="1" applyFont="1" applyFill="1" applyBorder="1"/>
    <xf numFmtId="0" fontId="6" fillId="0" borderId="6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4" fontId="6" fillId="0" borderId="10" xfId="0" applyNumberFormat="1" applyFont="1" applyFill="1" applyBorder="1"/>
    <xf numFmtId="2" fontId="7" fillId="0" borderId="3" xfId="0" applyNumberFormat="1" applyFont="1" applyBorder="1" applyAlignment="1">
      <alignment horizontal="center" vertical="center"/>
    </xf>
    <xf numFmtId="1" fontId="15" fillId="0" borderId="3" xfId="0" applyNumberFormat="1" applyFont="1" applyBorder="1" applyAlignment="1">
      <alignment horizontal="center" vertical="center"/>
    </xf>
    <xf numFmtId="2" fontId="15" fillId="0" borderId="3" xfId="0" applyNumberFormat="1" applyFont="1" applyBorder="1" applyAlignment="1">
      <alignment vertical="center"/>
    </xf>
    <xf numFmtId="2" fontId="0" fillId="0" borderId="0" xfId="0" applyNumberFormat="1"/>
    <xf numFmtId="0" fontId="16" fillId="2" borderId="4" xfId="0" applyFont="1" applyFill="1" applyBorder="1" applyAlignment="1"/>
    <xf numFmtId="0" fontId="11" fillId="2" borderId="6" xfId="0" applyFont="1" applyFill="1" applyBorder="1" applyAlignment="1">
      <alignment horizontal="center"/>
    </xf>
    <xf numFmtId="3" fontId="11" fillId="2" borderId="6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4" fontId="11" fillId="2" borderId="4" xfId="0" applyNumberFormat="1" applyFont="1" applyFill="1" applyBorder="1"/>
    <xf numFmtId="0" fontId="6" fillId="0" borderId="6" xfId="0" applyFont="1" applyFill="1" applyBorder="1" applyAlignment="1">
      <alignment horizontal="center"/>
    </xf>
    <xf numFmtId="0" fontId="6" fillId="0" borderId="6" xfId="0" applyFont="1" applyFill="1" applyBorder="1"/>
    <xf numFmtId="2" fontId="6" fillId="0" borderId="4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3" fontId="6" fillId="0" borderId="6" xfId="0" applyNumberFormat="1" applyFont="1" applyFill="1" applyBorder="1" applyAlignment="1">
      <alignment horizontal="center"/>
    </xf>
    <xf numFmtId="164" fontId="8" fillId="0" borderId="6" xfId="0" applyNumberFormat="1" applyFont="1" applyBorder="1"/>
    <xf numFmtId="2" fontId="14" fillId="3" borderId="5" xfId="0" applyNumberFormat="1" applyFont="1" applyFill="1" applyBorder="1" applyAlignment="1">
      <alignment horizontal="center" vertical="center"/>
    </xf>
    <xf numFmtId="164" fontId="14" fillId="0" borderId="6" xfId="0" applyNumberFormat="1" applyFont="1" applyBorder="1"/>
    <xf numFmtId="0" fontId="0" fillId="0" borderId="4" xfId="0" applyBorder="1"/>
    <xf numFmtId="164" fontId="8" fillId="0" borderId="11" xfId="0" applyNumberFormat="1" applyFont="1" applyBorder="1"/>
    <xf numFmtId="3" fontId="9" fillId="0" borderId="6" xfId="0" applyNumberFormat="1" applyFont="1" applyFill="1" applyBorder="1" applyAlignment="1">
      <alignment horizontal="center"/>
    </xf>
    <xf numFmtId="164" fontId="19" fillId="0" borderId="0" xfId="0" applyNumberFormat="1" applyFont="1" applyAlignment="1">
      <alignment horizontal="center"/>
    </xf>
    <xf numFmtId="0" fontId="3" fillId="0" borderId="0" xfId="0" applyFont="1"/>
    <xf numFmtId="164" fontId="1" fillId="2" borderId="7" xfId="0" applyNumberFormat="1" applyFont="1" applyFill="1" applyBorder="1"/>
    <xf numFmtId="0" fontId="5" fillId="2" borderId="8" xfId="0" applyFont="1" applyFill="1" applyBorder="1" applyAlignment="1">
      <alignment vertical="center"/>
    </xf>
    <xf numFmtId="4" fontId="2" fillId="0" borderId="0" xfId="0" applyNumberFormat="1" applyFont="1" applyAlignment="1">
      <alignment horizontal="center"/>
    </xf>
    <xf numFmtId="0" fontId="20" fillId="0" borderId="0" xfId="0" applyFont="1" applyBorder="1" applyAlignment="1"/>
    <xf numFmtId="0" fontId="6" fillId="0" borderId="14" xfId="0" applyFont="1" applyBorder="1" applyAlignment="1"/>
    <xf numFmtId="0" fontId="6" fillId="0" borderId="0" xfId="0" applyFont="1" applyBorder="1" applyAlignment="1"/>
    <xf numFmtId="1" fontId="6" fillId="0" borderId="0" xfId="0" applyNumberFormat="1" applyFont="1" applyBorder="1" applyAlignment="1"/>
    <xf numFmtId="4" fontId="6" fillId="0" borderId="14" xfId="0" applyNumberFormat="1" applyFont="1" applyBorder="1" applyAlignment="1"/>
    <xf numFmtId="0" fontId="22" fillId="0" borderId="0" xfId="0" applyFont="1"/>
    <xf numFmtId="0" fontId="22" fillId="0" borderId="0" xfId="0" applyFont="1" applyBorder="1"/>
    <xf numFmtId="2" fontId="23" fillId="0" borderId="4" xfId="0" applyNumberFormat="1" applyFont="1" applyBorder="1" applyAlignment="1"/>
    <xf numFmtId="2" fontId="6" fillId="0" borderId="2" xfId="0" applyNumberFormat="1" applyFont="1" applyFill="1" applyBorder="1"/>
    <xf numFmtId="2" fontId="6" fillId="0" borderId="2" xfId="0" applyNumberFormat="1" applyFont="1" applyBorder="1"/>
    <xf numFmtId="2" fontId="11" fillId="2" borderId="2" xfId="0" applyNumberFormat="1" applyFont="1" applyFill="1" applyBorder="1"/>
    <xf numFmtId="2" fontId="6" fillId="0" borderId="1" xfId="0" applyNumberFormat="1" applyFont="1" applyBorder="1"/>
    <xf numFmtId="4" fontId="6" fillId="0" borderId="12" xfId="0" applyNumberFormat="1" applyFont="1" applyBorder="1" applyAlignment="1"/>
    <xf numFmtId="2" fontId="24" fillId="0" borderId="4" xfId="0" applyNumberFormat="1" applyFont="1" applyBorder="1" applyAlignment="1"/>
    <xf numFmtId="2" fontId="24" fillId="0" borderId="4" xfId="0" applyNumberFormat="1" applyFont="1" applyFill="1" applyBorder="1" applyAlignment="1"/>
    <xf numFmtId="2" fontId="24" fillId="2" borderId="4" xfId="0" applyNumberFormat="1" applyFont="1" applyFill="1" applyBorder="1" applyAlignment="1"/>
    <xf numFmtId="4" fontId="7" fillId="0" borderId="4" xfId="0" applyNumberFormat="1" applyFont="1" applyFill="1" applyBorder="1"/>
    <xf numFmtId="164" fontId="8" fillId="0" borderId="0" xfId="0" applyNumberFormat="1" applyFont="1" applyFill="1" applyBorder="1"/>
    <xf numFmtId="0" fontId="22" fillId="0" borderId="0" xfId="0" applyFont="1" applyFill="1" applyBorder="1"/>
    <xf numFmtId="0" fontId="0" fillId="0" borderId="0" xfId="0" applyFill="1" applyBorder="1"/>
    <xf numFmtId="0" fontId="18" fillId="0" borderId="0" xfId="0" applyFont="1" applyFill="1" applyBorder="1" applyAlignment="1">
      <alignment vertical="center"/>
    </xf>
    <xf numFmtId="2" fontId="14" fillId="0" borderId="0" xfId="0" applyNumberFormat="1" applyFont="1" applyFill="1" applyBorder="1" applyAlignment="1">
      <alignment horizontal="center" vertical="center"/>
    </xf>
    <xf numFmtId="164" fontId="19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/>
    <xf numFmtId="0" fontId="3" fillId="0" borderId="0" xfId="0" applyFont="1" applyFill="1" applyBorder="1"/>
    <xf numFmtId="164" fontId="1" fillId="0" borderId="0" xfId="0" applyNumberFormat="1" applyFont="1" applyFill="1" applyBorder="1"/>
    <xf numFmtId="0" fontId="5" fillId="0" borderId="0" xfId="0" applyFont="1" applyFill="1" applyBorder="1" applyAlignment="1">
      <alignment vertical="center"/>
    </xf>
    <xf numFmtId="0" fontId="2" fillId="0" borderId="0" xfId="0" applyFont="1" applyFill="1" applyBorder="1"/>
    <xf numFmtId="164" fontId="0" fillId="0" borderId="0" xfId="0" applyNumberFormat="1" applyFill="1" applyBorder="1"/>
    <xf numFmtId="0" fontId="25" fillId="0" borderId="0" xfId="0" applyFont="1" applyAlignment="1">
      <alignment vertical="center"/>
    </xf>
    <xf numFmtId="166" fontId="22" fillId="0" borderId="0" xfId="0" applyNumberFormat="1" applyFont="1" applyBorder="1"/>
    <xf numFmtId="0" fontId="11" fillId="0" borderId="0" xfId="0" applyFont="1" applyBorder="1"/>
    <xf numFmtId="4" fontId="11" fillId="0" borderId="4" xfId="0" applyNumberFormat="1" applyFont="1" applyBorder="1"/>
    <xf numFmtId="0" fontId="11" fillId="0" borderId="0" xfId="0" applyFont="1" applyFill="1" applyBorder="1" applyAlignment="1">
      <alignment horizontal="center"/>
    </xf>
    <xf numFmtId="4" fontId="11" fillId="0" borderId="4" xfId="0" applyNumberFormat="1" applyFont="1" applyFill="1" applyBorder="1"/>
    <xf numFmtId="0" fontId="11" fillId="0" borderId="0" xfId="0" applyFont="1" applyBorder="1" applyAlignment="1">
      <alignment horizontal="center"/>
    </xf>
    <xf numFmtId="1" fontId="12" fillId="0" borderId="3" xfId="0" applyNumberFormat="1" applyFont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0" fontId="4" fillId="0" borderId="12" xfId="0" applyFont="1" applyBorder="1" applyAlignment="1"/>
    <xf numFmtId="0" fontId="4" fillId="0" borderId="4" xfId="0" applyFont="1" applyBorder="1" applyAlignment="1"/>
    <xf numFmtId="0" fontId="4" fillId="0" borderId="4" xfId="0" applyFont="1" applyFill="1" applyBorder="1"/>
    <xf numFmtId="0" fontId="4" fillId="0" borderId="4" xfId="0" applyFont="1" applyBorder="1"/>
    <xf numFmtId="0" fontId="27" fillId="0" borderId="0" xfId="0" applyFont="1"/>
    <xf numFmtId="0" fontId="4" fillId="0" borderId="0" xfId="0" applyFont="1"/>
    <xf numFmtId="0" fontId="16" fillId="0" borderId="0" xfId="0" applyFont="1"/>
    <xf numFmtId="0" fontId="5" fillId="0" borderId="5" xfId="0" applyFont="1" applyBorder="1" applyAlignment="1">
      <alignment horizontal="center"/>
    </xf>
    <xf numFmtId="0" fontId="26" fillId="0" borderId="5" xfId="0" applyFont="1" applyBorder="1" applyAlignment="1">
      <alignment horizontal="center" wrapText="1" shrinkToFit="1"/>
    </xf>
    <xf numFmtId="0" fontId="5" fillId="0" borderId="1" xfId="0" applyFont="1" applyBorder="1" applyAlignment="1">
      <alignment horizontal="center" wrapText="1" shrinkToFit="1"/>
    </xf>
    <xf numFmtId="0" fontId="5" fillId="0" borderId="0" xfId="0" applyFont="1" applyAlignment="1">
      <alignment horizontal="center"/>
    </xf>
    <xf numFmtId="0" fontId="4" fillId="0" borderId="4" xfId="0" applyFont="1" applyFill="1" applyBorder="1" applyAlignment="1">
      <alignment horizontal="center"/>
    </xf>
    <xf numFmtId="4" fontId="12" fillId="2" borderId="4" xfId="0" applyNumberFormat="1" applyFont="1" applyFill="1" applyBorder="1"/>
    <xf numFmtId="164" fontId="32" fillId="0" borderId="13" xfId="0" applyNumberFormat="1" applyFont="1" applyBorder="1"/>
    <xf numFmtId="0" fontId="33" fillId="0" borderId="14" xfId="0" applyFont="1" applyBorder="1"/>
    <xf numFmtId="0" fontId="31" fillId="0" borderId="12" xfId="0" applyFont="1" applyBorder="1"/>
    <xf numFmtId="0" fontId="4" fillId="0" borderId="0" xfId="0" applyFont="1" applyFill="1"/>
    <xf numFmtId="0" fontId="4" fillId="0" borderId="4" xfId="0" applyFont="1" applyFill="1" applyBorder="1" applyAlignment="1"/>
    <xf numFmtId="0" fontId="0" fillId="0" borderId="7" xfId="0" applyBorder="1"/>
    <xf numFmtId="0" fontId="0" fillId="0" borderId="8" xfId="0" applyBorder="1"/>
    <xf numFmtId="0" fontId="4" fillId="0" borderId="5" xfId="0" applyFont="1" applyBorder="1" applyAlignment="1">
      <alignment horizontal="center" wrapText="1" shrinkToFit="1"/>
    </xf>
    <xf numFmtId="0" fontId="13" fillId="2" borderId="0" xfId="0" applyFont="1" applyFill="1" applyBorder="1"/>
    <xf numFmtId="0" fontId="31" fillId="0" borderId="8" xfId="0" applyFont="1" applyBorder="1"/>
    <xf numFmtId="2" fontId="34" fillId="0" borderId="3" xfId="0" applyNumberFormat="1" applyFont="1" applyBorder="1" applyAlignment="1">
      <alignment vertical="center"/>
    </xf>
    <xf numFmtId="0" fontId="31" fillId="0" borderId="0" xfId="0" applyFont="1"/>
    <xf numFmtId="0" fontId="35" fillId="0" borderId="0" xfId="0" applyFont="1" applyBorder="1" applyAlignment="1"/>
    <xf numFmtId="0" fontId="5" fillId="0" borderId="0" xfId="0" applyFont="1"/>
    <xf numFmtId="2" fontId="34" fillId="0" borderId="4" xfId="0" applyNumberFormat="1" applyFont="1" applyBorder="1" applyAlignment="1"/>
    <xf numFmtId="2" fontId="34" fillId="0" borderId="4" xfId="0" applyNumberFormat="1" applyFont="1" applyFill="1" applyBorder="1" applyAlignment="1"/>
    <xf numFmtId="2" fontId="34" fillId="2" borderId="4" xfId="0" applyNumberFormat="1" applyFont="1" applyFill="1" applyBorder="1" applyAlignment="1"/>
    <xf numFmtId="0" fontId="7" fillId="0" borderId="0" xfId="0" applyFont="1" applyBorder="1" applyAlignment="1"/>
    <xf numFmtId="0" fontId="21" fillId="5" borderId="7" xfId="0" applyFont="1" applyFill="1" applyBorder="1" applyAlignment="1"/>
    <xf numFmtId="4" fontId="10" fillId="5" borderId="8" xfId="0" applyNumberFormat="1" applyFont="1" applyFill="1" applyBorder="1" applyAlignment="1"/>
    <xf numFmtId="2" fontId="11" fillId="0" borderId="2" xfId="0" applyNumberFormat="1" applyFont="1" applyFill="1" applyBorder="1"/>
    <xf numFmtId="0" fontId="11" fillId="0" borderId="0" xfId="0" applyFont="1" applyFill="1" applyBorder="1"/>
    <xf numFmtId="2" fontId="6" fillId="0" borderId="0" xfId="0" applyNumberFormat="1" applyFont="1" applyBorder="1" applyAlignment="1"/>
    <xf numFmtId="0" fontId="16" fillId="0" borderId="4" xfId="0" applyFont="1" applyFill="1" applyBorder="1" applyAlignment="1"/>
    <xf numFmtId="3" fontId="11" fillId="0" borderId="11" xfId="0" applyNumberFormat="1" applyFont="1" applyFill="1" applyBorder="1" applyAlignment="1">
      <alignment horizontal="center"/>
    </xf>
    <xf numFmtId="2" fontId="24" fillId="0" borderId="10" xfId="0" applyNumberFormat="1" applyFont="1" applyFill="1" applyBorder="1" applyAlignment="1"/>
    <xf numFmtId="2" fontId="11" fillId="0" borderId="3" xfId="0" applyNumberFormat="1" applyFont="1" applyFill="1" applyBorder="1"/>
    <xf numFmtId="2" fontId="34" fillId="0" borderId="10" xfId="0" applyNumberFormat="1" applyFont="1" applyFill="1" applyBorder="1" applyAlignment="1"/>
    <xf numFmtId="0" fontId="6" fillId="0" borderId="11" xfId="0" applyFont="1" applyFill="1" applyBorder="1" applyAlignment="1">
      <alignment horizontal="center"/>
    </xf>
    <xf numFmtId="0" fontId="4" fillId="0" borderId="10" xfId="0" applyFont="1" applyFill="1" applyBorder="1" applyAlignment="1"/>
    <xf numFmtId="0" fontId="6" fillId="0" borderId="9" xfId="0" applyFont="1" applyFill="1" applyBorder="1" applyAlignment="1">
      <alignment horizontal="center"/>
    </xf>
    <xf numFmtId="0" fontId="36" fillId="0" borderId="0" xfId="0" applyFont="1" applyAlignment="1">
      <alignment horizontal="left"/>
    </xf>
    <xf numFmtId="4" fontId="6" fillId="0" borderId="3" xfId="0" applyNumberFormat="1" applyFont="1" applyFill="1" applyBorder="1"/>
    <xf numFmtId="2" fontId="21" fillId="0" borderId="0" xfId="0" applyNumberFormat="1" applyFont="1" applyBorder="1" applyAlignment="1"/>
    <xf numFmtId="0" fontId="6" fillId="0" borderId="6" xfId="0" applyFont="1" applyBorder="1" applyAlignment="1">
      <alignment horizontal="center"/>
    </xf>
    <xf numFmtId="0" fontId="37" fillId="0" borderId="5" xfId="0" applyFont="1" applyBorder="1" applyAlignment="1">
      <alignment horizontal="center" wrapText="1" shrinkToFit="1"/>
    </xf>
    <xf numFmtId="0" fontId="39" fillId="0" borderId="0" xfId="0" applyFont="1" applyFill="1" applyBorder="1" applyAlignment="1">
      <alignment horizontal="center"/>
    </xf>
    <xf numFmtId="4" fontId="39" fillId="0" borderId="4" xfId="0" applyNumberFormat="1" applyFont="1" applyBorder="1"/>
    <xf numFmtId="4" fontId="39" fillId="0" borderId="4" xfId="0" applyNumberFormat="1" applyFont="1" applyFill="1" applyBorder="1"/>
    <xf numFmtId="0" fontId="39" fillId="2" borderId="0" xfId="0" applyFont="1" applyFill="1" applyBorder="1" applyAlignment="1">
      <alignment horizontal="center"/>
    </xf>
    <xf numFmtId="4" fontId="39" fillId="2" borderId="4" xfId="0" applyNumberFormat="1" applyFont="1" applyFill="1" applyBorder="1"/>
    <xf numFmtId="0" fontId="39" fillId="0" borderId="0" xfId="0" applyFont="1" applyBorder="1" applyAlignment="1">
      <alignment horizontal="center"/>
    </xf>
    <xf numFmtId="0" fontId="39" fillId="0" borderId="9" xfId="0" applyFont="1" applyFill="1" applyBorder="1" applyAlignment="1">
      <alignment horizontal="center"/>
    </xf>
    <xf numFmtId="4" fontId="39" fillId="0" borderId="10" xfId="0" applyNumberFormat="1" applyFont="1" applyFill="1" applyBorder="1"/>
    <xf numFmtId="1" fontId="40" fillId="0" borderId="3" xfId="0" applyNumberFormat="1" applyFont="1" applyBorder="1" applyAlignment="1">
      <alignment horizontal="center" vertical="center"/>
    </xf>
    <xf numFmtId="2" fontId="40" fillId="0" borderId="3" xfId="0" applyNumberFormat="1" applyFont="1" applyBorder="1" applyAlignment="1">
      <alignment horizontal="center" vertical="center"/>
    </xf>
    <xf numFmtId="2" fontId="41" fillId="0" borderId="4" xfId="0" applyNumberFormat="1" applyFont="1" applyFill="1" applyBorder="1" applyAlignment="1"/>
    <xf numFmtId="0" fontId="42" fillId="0" borderId="8" xfId="0" applyFont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27" fillId="0" borderId="4" xfId="0" applyFont="1" applyBorder="1"/>
    <xf numFmtId="0" fontId="4" fillId="0" borderId="0" xfId="0" applyFont="1" applyFill="1" applyAlignment="1">
      <alignment horizontal="center"/>
    </xf>
    <xf numFmtId="0" fontId="16" fillId="2" borderId="0" xfId="0" applyFont="1" applyFill="1" applyAlignment="1"/>
    <xf numFmtId="0" fontId="16" fillId="0" borderId="0" xfId="0" applyFont="1" applyFill="1" applyAlignment="1"/>
    <xf numFmtId="3" fontId="11" fillId="0" borderId="6" xfId="0" applyNumberFormat="1" applyFont="1" applyFill="1" applyBorder="1" applyAlignment="1">
      <alignment horizontal="center"/>
    </xf>
    <xf numFmtId="2" fontId="24" fillId="0" borderId="10" xfId="0" applyNumberFormat="1" applyFont="1" applyBorder="1" applyAlignment="1"/>
    <xf numFmtId="4" fontId="11" fillId="0" borderId="10" xfId="0" applyNumberFormat="1" applyFont="1" applyFill="1" applyBorder="1"/>
    <xf numFmtId="2" fontId="34" fillId="0" borderId="10" xfId="0" applyNumberFormat="1" applyFont="1" applyBorder="1" applyAlignment="1"/>
    <xf numFmtId="0" fontId="11" fillId="2" borderId="13" xfId="0" applyFont="1" applyFill="1" applyBorder="1" applyAlignment="1">
      <alignment horizontal="center"/>
    </xf>
    <xf numFmtId="0" fontId="4" fillId="0" borderId="10" xfId="0" applyFont="1" applyFill="1" applyBorder="1"/>
    <xf numFmtId="0" fontId="6" fillId="0" borderId="11" xfId="0" applyFont="1" applyFill="1" applyBorder="1"/>
    <xf numFmtId="2" fontId="11" fillId="2" borderId="1" xfId="0" applyNumberFormat="1" applyFont="1" applyFill="1" applyBorder="1"/>
    <xf numFmtId="2" fontId="6" fillId="0" borderId="3" xfId="0" applyNumberFormat="1" applyFont="1" applyFill="1" applyBorder="1"/>
    <xf numFmtId="4" fontId="11" fillId="2" borderId="12" xfId="0" applyNumberFormat="1" applyFont="1" applyFill="1" applyBorder="1"/>
    <xf numFmtId="0" fontId="16" fillId="2" borderId="12" xfId="0" applyFont="1" applyFill="1" applyBorder="1"/>
    <xf numFmtId="0" fontId="11" fillId="2" borderId="6" xfId="0" applyFont="1" applyFill="1" applyBorder="1"/>
    <xf numFmtId="2" fontId="11" fillId="2" borderId="4" xfId="0" applyNumberFormat="1" applyFont="1" applyFill="1" applyBorder="1" applyAlignment="1"/>
    <xf numFmtId="2" fontId="12" fillId="2" borderId="4" xfId="0" applyNumberFormat="1" applyFont="1" applyFill="1" applyBorder="1" applyAlignment="1"/>
    <xf numFmtId="0" fontId="30" fillId="0" borderId="5" xfId="0" applyFont="1" applyBorder="1" applyAlignment="1">
      <alignment horizontal="center" wrapText="1" shrinkToFit="1"/>
    </xf>
    <xf numFmtId="0" fontId="44" fillId="2" borderId="0" xfId="0" applyFont="1" applyFill="1" applyBorder="1" applyAlignment="1">
      <alignment horizontal="center"/>
    </xf>
    <xf numFmtId="4" fontId="44" fillId="2" borderId="4" xfId="0" applyNumberFormat="1" applyFont="1" applyFill="1" applyBorder="1"/>
    <xf numFmtId="0" fontId="44" fillId="0" borderId="0" xfId="0" applyFont="1" applyBorder="1" applyAlignment="1">
      <alignment horizontal="center"/>
    </xf>
    <xf numFmtId="4" fontId="44" fillId="0" borderId="4" xfId="0" applyNumberFormat="1" applyFont="1" applyFill="1" applyBorder="1"/>
    <xf numFmtId="0" fontId="44" fillId="0" borderId="0" xfId="0" applyFont="1" applyFill="1" applyBorder="1" applyAlignment="1">
      <alignment horizontal="center"/>
    </xf>
    <xf numFmtId="0" fontId="44" fillId="0" borderId="9" xfId="0" applyFont="1" applyFill="1" applyBorder="1" applyAlignment="1">
      <alignment horizontal="center"/>
    </xf>
    <xf numFmtId="4" fontId="44" fillId="0" borderId="10" xfId="0" applyNumberFormat="1" applyFont="1" applyFill="1" applyBorder="1"/>
    <xf numFmtId="1" fontId="45" fillId="0" borderId="3" xfId="0" applyNumberFormat="1" applyFont="1" applyBorder="1" applyAlignment="1">
      <alignment horizontal="center" vertical="center"/>
    </xf>
    <xf numFmtId="2" fontId="45" fillId="0" borderId="3" xfId="0" applyNumberFormat="1" applyFont="1" applyBorder="1" applyAlignment="1">
      <alignment horizontal="center" vertical="center"/>
    </xf>
    <xf numFmtId="0" fontId="46" fillId="0" borderId="5" xfId="0" applyFont="1" applyBorder="1" applyAlignment="1">
      <alignment horizontal="center" wrapText="1" shrinkToFit="1"/>
    </xf>
    <xf numFmtId="0" fontId="0" fillId="0" borderId="0" xfId="0" applyFill="1" applyBorder="1" applyAlignment="1">
      <alignment horizontal="center"/>
    </xf>
    <xf numFmtId="0" fontId="48" fillId="0" borderId="0" xfId="0" applyFont="1" applyFill="1" applyBorder="1" applyAlignment="1">
      <alignment horizontal="center"/>
    </xf>
    <xf numFmtId="1" fontId="50" fillId="0" borderId="7" xfId="0" applyNumberFormat="1" applyFont="1" applyFill="1" applyBorder="1" applyAlignment="1">
      <alignment horizontal="center"/>
    </xf>
    <xf numFmtId="0" fontId="47" fillId="0" borderId="8" xfId="0" applyFont="1" applyFill="1" applyBorder="1" applyAlignment="1">
      <alignment vertical="center"/>
    </xf>
    <xf numFmtId="0" fontId="22" fillId="0" borderId="12" xfId="0" applyFont="1" applyBorder="1" applyAlignment="1">
      <alignment horizontal="center"/>
    </xf>
    <xf numFmtId="0" fontId="0" fillId="0" borderId="10" xfId="0" applyBorder="1"/>
    <xf numFmtId="0" fontId="0" fillId="0" borderId="13" xfId="0" applyBorder="1"/>
    <xf numFmtId="0" fontId="22" fillId="0" borderId="14" xfId="0" applyFont="1" applyBorder="1"/>
    <xf numFmtId="0" fontId="0" fillId="0" borderId="12" xfId="0" applyBorder="1"/>
    <xf numFmtId="16" fontId="22" fillId="0" borderId="6" xfId="0" applyNumberFormat="1" applyFont="1" applyFill="1" applyBorder="1"/>
    <xf numFmtId="164" fontId="19" fillId="0" borderId="4" xfId="0" applyNumberFormat="1" applyFont="1" applyFill="1" applyBorder="1" applyAlignment="1">
      <alignment horizontal="center"/>
    </xf>
    <xf numFmtId="0" fontId="3" fillId="0" borderId="4" xfId="0" applyFont="1" applyFill="1" applyBorder="1"/>
    <xf numFmtId="164" fontId="1" fillId="0" borderId="4" xfId="0" applyNumberFormat="1" applyFont="1" applyFill="1" applyBorder="1"/>
    <xf numFmtId="0" fontId="18" fillId="0" borderId="4" xfId="0" applyFont="1" applyFill="1" applyBorder="1" applyAlignment="1">
      <alignment vertical="center"/>
    </xf>
    <xf numFmtId="0" fontId="22" fillId="0" borderId="6" xfId="0" applyFont="1" applyFill="1" applyBorder="1"/>
    <xf numFmtId="0" fontId="49" fillId="0" borderId="4" xfId="0" applyFont="1" applyFill="1" applyBorder="1" applyAlignment="1">
      <alignment vertical="center"/>
    </xf>
    <xf numFmtId="0" fontId="51" fillId="0" borderId="11" xfId="0" applyFont="1" applyFill="1" applyBorder="1"/>
    <xf numFmtId="0" fontId="13" fillId="2" borderId="0" xfId="0" applyFont="1" applyFill="1"/>
    <xf numFmtId="0" fontId="9" fillId="2" borderId="6" xfId="0" applyFont="1" applyFill="1" applyBorder="1" applyAlignment="1">
      <alignment horizontal="center"/>
    </xf>
    <xf numFmtId="0" fontId="13" fillId="2" borderId="4" xfId="0" applyFont="1" applyFill="1" applyBorder="1" applyAlignment="1"/>
    <xf numFmtId="3" fontId="9" fillId="2" borderId="6" xfId="0" applyNumberFormat="1" applyFont="1" applyFill="1" applyBorder="1" applyAlignment="1">
      <alignment horizontal="center"/>
    </xf>
    <xf numFmtId="2" fontId="9" fillId="2" borderId="4" xfId="0" applyNumberFormat="1" applyFont="1" applyFill="1" applyBorder="1" applyAlignment="1"/>
    <xf numFmtId="0" fontId="9" fillId="2" borderId="0" xfId="0" applyFont="1" applyFill="1" applyBorder="1" applyAlignment="1">
      <alignment horizontal="center"/>
    </xf>
    <xf numFmtId="4" fontId="9" fillId="2" borderId="4" xfId="0" applyNumberFormat="1" applyFont="1" applyFill="1" applyBorder="1"/>
    <xf numFmtId="0" fontId="9" fillId="2" borderId="0" xfId="0" applyFont="1" applyFill="1" applyBorder="1"/>
    <xf numFmtId="2" fontId="9" fillId="2" borderId="2" xfId="0" applyNumberFormat="1" applyFont="1" applyFill="1" applyBorder="1"/>
    <xf numFmtId="4" fontId="9" fillId="2" borderId="4" xfId="0" applyNumberFormat="1" applyFont="1" applyFill="1" applyBorder="1" applyAlignment="1"/>
    <xf numFmtId="2" fontId="10" fillId="2" borderId="4" xfId="0" applyNumberFormat="1" applyFont="1" applyFill="1" applyBorder="1" applyAlignment="1"/>
    <xf numFmtId="0" fontId="52" fillId="0" borderId="5" xfId="0" applyFont="1" applyBorder="1" applyAlignment="1">
      <alignment horizontal="center" wrapText="1" shrinkToFit="1"/>
    </xf>
    <xf numFmtId="167" fontId="53" fillId="0" borderId="0" xfId="0" applyNumberFormat="1" applyFont="1"/>
    <xf numFmtId="14" fontId="54" fillId="0" borderId="4" xfId="0" applyNumberFormat="1" applyFont="1" applyFill="1" applyBorder="1"/>
    <xf numFmtId="0" fontId="55" fillId="2" borderId="0" xfId="0" applyFont="1" applyFill="1" applyAlignment="1"/>
    <xf numFmtId="0" fontId="56" fillId="2" borderId="6" xfId="0" applyFont="1" applyFill="1" applyBorder="1" applyAlignment="1">
      <alignment horizontal="center"/>
    </xf>
    <xf numFmtId="0" fontId="57" fillId="2" borderId="4" xfId="0" applyFont="1" applyFill="1" applyBorder="1" applyAlignment="1"/>
    <xf numFmtId="0" fontId="58" fillId="0" borderId="5" xfId="0" applyFont="1" applyBorder="1" applyAlignment="1">
      <alignment horizontal="center" wrapText="1" shrinkToFit="1"/>
    </xf>
    <xf numFmtId="0" fontId="59" fillId="0" borderId="0" xfId="0" applyFont="1" applyBorder="1" applyAlignment="1">
      <alignment horizontal="center"/>
    </xf>
    <xf numFmtId="4" fontId="59" fillId="0" borderId="4" xfId="0" applyNumberFormat="1" applyFont="1" applyFill="1" applyBorder="1"/>
    <xf numFmtId="0" fontId="59" fillId="0" borderId="0" xfId="0" applyFont="1" applyFill="1" applyBorder="1" applyAlignment="1">
      <alignment horizontal="center"/>
    </xf>
    <xf numFmtId="0" fontId="59" fillId="2" borderId="0" xfId="0" applyFont="1" applyFill="1" applyBorder="1" applyAlignment="1">
      <alignment horizontal="center"/>
    </xf>
    <xf numFmtId="4" fontId="59" fillId="2" borderId="4" xfId="0" applyNumberFormat="1" applyFont="1" applyFill="1" applyBorder="1"/>
    <xf numFmtId="0" fontId="59" fillId="0" borderId="9" xfId="0" applyFont="1" applyFill="1" applyBorder="1" applyAlignment="1">
      <alignment horizontal="center"/>
    </xf>
    <xf numFmtId="4" fontId="59" fillId="0" borderId="10" xfId="0" applyNumberFormat="1" applyFont="1" applyFill="1" applyBorder="1"/>
    <xf numFmtId="1" fontId="60" fillId="0" borderId="3" xfId="0" applyNumberFormat="1" applyFont="1" applyBorder="1" applyAlignment="1">
      <alignment horizontal="center" vertical="center"/>
    </xf>
    <xf numFmtId="2" fontId="60" fillId="0" borderId="3" xfId="0" applyNumberFormat="1" applyFont="1" applyBorder="1" applyAlignment="1">
      <alignment horizontal="center" vertical="center"/>
    </xf>
    <xf numFmtId="0" fontId="13" fillId="2" borderId="0" xfId="0" applyFont="1" applyFill="1" applyAlignment="1">
      <alignment horizontal="center"/>
    </xf>
    <xf numFmtId="0" fontId="0" fillId="0" borderId="0" xfId="0" applyFill="1"/>
    <xf numFmtId="0" fontId="2" fillId="0" borderId="0" xfId="0" applyFont="1" applyFill="1"/>
    <xf numFmtId="2" fontId="17" fillId="0" borderId="2" xfId="0" applyNumberFormat="1" applyFont="1" applyBorder="1"/>
    <xf numFmtId="2" fontId="17" fillId="0" borderId="2" xfId="0" applyNumberFormat="1" applyFont="1" applyFill="1" applyBorder="1"/>
    <xf numFmtId="2" fontId="61" fillId="2" borderId="2" xfId="0" applyNumberFormat="1" applyFont="1" applyFill="1" applyBorder="1"/>
    <xf numFmtId="2" fontId="61" fillId="0" borderId="2" xfId="0" applyNumberFormat="1" applyFont="1" applyFill="1" applyBorder="1"/>
    <xf numFmtId="2" fontId="62" fillId="2" borderId="2" xfId="0" applyNumberFormat="1" applyFont="1" applyFill="1" applyBorder="1"/>
    <xf numFmtId="2" fontId="17" fillId="0" borderId="3" xfId="0" applyNumberFormat="1" applyFont="1" applyFill="1" applyBorder="1"/>
    <xf numFmtId="2" fontId="29" fillId="0" borderId="3" xfId="0" applyNumberFormat="1" applyFont="1" applyBorder="1" applyAlignment="1">
      <alignment horizontal="center" vertical="center"/>
    </xf>
    <xf numFmtId="0" fontId="63" fillId="0" borderId="0" xfId="0" applyFont="1" applyAlignment="1">
      <alignment horizontal="left"/>
    </xf>
    <xf numFmtId="0" fontId="64" fillId="0" borderId="5" xfId="0" applyFont="1" applyBorder="1" applyAlignment="1">
      <alignment horizontal="center" wrapText="1" shrinkToFit="1"/>
    </xf>
    <xf numFmtId="0" fontId="24" fillId="0" borderId="0" xfId="0" applyFont="1" applyBorder="1" applyAlignment="1">
      <alignment horizontal="center"/>
    </xf>
    <xf numFmtId="4" fontId="24" fillId="0" borderId="4" xfId="0" applyNumberFormat="1" applyFont="1" applyFill="1" applyBorder="1"/>
    <xf numFmtId="0" fontId="24" fillId="0" borderId="0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4" fontId="24" fillId="2" borderId="4" xfId="0" applyNumberFormat="1" applyFont="1" applyFill="1" applyBorder="1"/>
    <xf numFmtId="3" fontId="24" fillId="2" borderId="6" xfId="0" applyNumberFormat="1" applyFont="1" applyFill="1" applyBorder="1" applyAlignment="1">
      <alignment horizontal="center"/>
    </xf>
    <xf numFmtId="0" fontId="24" fillId="0" borderId="9" xfId="0" applyFont="1" applyFill="1" applyBorder="1" applyAlignment="1">
      <alignment horizontal="center"/>
    </xf>
    <xf numFmtId="4" fontId="24" fillId="0" borderId="10" xfId="0" applyNumberFormat="1" applyFont="1" applyFill="1" applyBorder="1"/>
    <xf numFmtId="1" fontId="65" fillId="0" borderId="3" xfId="0" applyNumberFormat="1" applyFont="1" applyBorder="1" applyAlignment="1">
      <alignment horizontal="center" vertical="center"/>
    </xf>
    <xf numFmtId="2" fontId="65" fillId="0" borderId="3" xfId="0" applyNumberFormat="1" applyFont="1" applyBorder="1" applyAlignment="1">
      <alignment horizontal="center" vertical="center"/>
    </xf>
    <xf numFmtId="0" fontId="66" fillId="2" borderId="4" xfId="0" applyFont="1" applyFill="1" applyBorder="1" applyAlignment="1"/>
    <xf numFmtId="0" fontId="67" fillId="0" borderId="0" xfId="0" applyFont="1" applyFill="1"/>
    <xf numFmtId="0" fontId="67" fillId="0" borderId="0" xfId="0" applyFont="1" applyFill="1" applyAlignment="1">
      <alignment horizontal="center"/>
    </xf>
    <xf numFmtId="4" fontId="67" fillId="0" borderId="0" xfId="0" applyNumberFormat="1" applyFont="1" applyFill="1" applyAlignment="1">
      <alignment horizontal="center"/>
    </xf>
    <xf numFmtId="4" fontId="6" fillId="0" borderId="4" xfId="0" applyNumberFormat="1" applyFont="1" applyFill="1" applyBorder="1" applyAlignment="1"/>
    <xf numFmtId="2" fontId="7" fillId="0" borderId="4" xfId="0" applyNumberFormat="1" applyFont="1" applyFill="1" applyBorder="1" applyAlignment="1"/>
    <xf numFmtId="0" fontId="13" fillId="2" borderId="4" xfId="0" applyFont="1" applyFill="1" applyBorder="1"/>
    <xf numFmtId="0" fontId="1" fillId="6" borderId="0" xfId="0" applyFont="1" applyFill="1" applyAlignment="1">
      <alignment horizontal="center"/>
    </xf>
    <xf numFmtId="0" fontId="27" fillId="6" borderId="0" xfId="0" applyFont="1" applyFill="1"/>
    <xf numFmtId="0" fontId="22" fillId="6" borderId="0" xfId="0" applyFont="1" applyFill="1" applyBorder="1"/>
    <xf numFmtId="164" fontId="8" fillId="6" borderId="0" xfId="0" applyNumberFormat="1" applyFont="1" applyFill="1" applyBorder="1"/>
    <xf numFmtId="0" fontId="68" fillId="2" borderId="0" xfId="0" applyFont="1" applyFill="1" applyAlignment="1"/>
    <xf numFmtId="0" fontId="44" fillId="2" borderId="6" xfId="0" applyFont="1" applyFill="1" applyBorder="1" applyAlignment="1">
      <alignment horizontal="center"/>
    </xf>
    <xf numFmtId="0" fontId="45" fillId="2" borderId="4" xfId="0" applyFont="1" applyFill="1" applyBorder="1" applyAlignment="1"/>
    <xf numFmtId="0" fontId="69" fillId="2" borderId="4" xfId="0" applyFont="1" applyFill="1" applyBorder="1" applyAlignment="1"/>
    <xf numFmtId="0" fontId="70" fillId="2" borderId="0" xfId="0" applyFont="1" applyFill="1" applyAlignment="1"/>
    <xf numFmtId="0" fontId="71" fillId="2" borderId="6" xfId="0" applyFont="1" applyFill="1" applyBorder="1" applyAlignment="1">
      <alignment horizontal="center"/>
    </xf>
    <xf numFmtId="0" fontId="72" fillId="2" borderId="0" xfId="0" applyFont="1" applyFill="1"/>
    <xf numFmtId="0" fontId="63" fillId="0" borderId="0" xfId="0" applyFont="1" applyAlignment="1"/>
    <xf numFmtId="0" fontId="63" fillId="0" borderId="0" xfId="0" quotePrefix="1" applyFont="1" applyAlignment="1"/>
    <xf numFmtId="2" fontId="22" fillId="0" borderId="0" xfId="0" applyNumberFormat="1" applyFont="1" applyBorder="1" applyAlignment="1">
      <alignment horizontal="center"/>
    </xf>
    <xf numFmtId="2" fontId="31" fillId="0" borderId="4" xfId="0" applyNumberFormat="1" applyFont="1" applyBorder="1" applyAlignment="1">
      <alignment horizontal="center"/>
    </xf>
    <xf numFmtId="164" fontId="32" fillId="0" borderId="13" xfId="0" applyNumberFormat="1" applyFont="1" applyBorder="1" applyAlignment="1">
      <alignment horizontal="center"/>
    </xf>
    <xf numFmtId="0" fontId="33" fillId="0" borderId="14" xfId="0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43" fontId="1" fillId="2" borderId="5" xfId="2" applyFont="1" applyFill="1" applyBorder="1" applyAlignment="1">
      <alignment horizontal="center" vertical="center"/>
    </xf>
    <xf numFmtId="0" fontId="2" fillId="0" borderId="1" xfId="0" applyFont="1" applyBorder="1"/>
    <xf numFmtId="164" fontId="0" fillId="0" borderId="3" xfId="0" applyNumberFormat="1" applyBorder="1"/>
    <xf numFmtId="0" fontId="4" fillId="2" borderId="0" xfId="0" applyFont="1" applyFill="1" applyAlignment="1">
      <alignment vertical="center"/>
    </xf>
    <xf numFmtId="0" fontId="4" fillId="2" borderId="4" xfId="0" applyFont="1" applyFill="1" applyBorder="1"/>
    <xf numFmtId="0" fontId="0" fillId="2" borderId="0" xfId="0" applyFill="1"/>
    <xf numFmtId="0" fontId="7" fillId="0" borderId="5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74" fillId="0" borderId="6" xfId="0" applyFont="1" applyFill="1" applyBorder="1" applyAlignment="1">
      <alignment horizontal="center"/>
    </xf>
    <xf numFmtId="0" fontId="75" fillId="0" borderId="4" xfId="0" applyFont="1" applyFill="1" applyBorder="1" applyAlignment="1"/>
    <xf numFmtId="0" fontId="74" fillId="0" borderId="0" xfId="0" applyFont="1" applyFill="1" applyBorder="1" applyAlignment="1">
      <alignment horizontal="center"/>
    </xf>
    <xf numFmtId="4" fontId="74" fillId="0" borderId="4" xfId="0" applyNumberFormat="1" applyFont="1" applyFill="1" applyBorder="1"/>
    <xf numFmtId="2" fontId="76" fillId="0" borderId="2" xfId="0" applyNumberFormat="1" applyFont="1" applyFill="1" applyBorder="1"/>
    <xf numFmtId="2" fontId="75" fillId="0" borderId="4" xfId="0" applyNumberFormat="1" applyFont="1" applyFill="1" applyBorder="1" applyAlignment="1"/>
    <xf numFmtId="0" fontId="74" fillId="2" borderId="6" xfId="0" applyFont="1" applyFill="1" applyBorder="1" applyAlignment="1">
      <alignment horizontal="center"/>
    </xf>
    <xf numFmtId="0" fontId="75" fillId="2" borderId="4" xfId="0" applyFont="1" applyFill="1" applyBorder="1" applyAlignment="1"/>
    <xf numFmtId="0" fontId="74" fillId="2" borderId="0" xfId="0" applyFont="1" applyFill="1" applyBorder="1" applyAlignment="1">
      <alignment horizontal="center"/>
    </xf>
    <xf numFmtId="4" fontId="74" fillId="2" borderId="4" xfId="0" applyNumberFormat="1" applyFont="1" applyFill="1" applyBorder="1"/>
    <xf numFmtId="2" fontId="76" fillId="2" borderId="2" xfId="0" applyNumberFormat="1" applyFont="1" applyFill="1" applyBorder="1"/>
    <xf numFmtId="2" fontId="75" fillId="2" borderId="4" xfId="0" applyNumberFormat="1" applyFont="1" applyFill="1" applyBorder="1" applyAlignment="1"/>
    <xf numFmtId="0" fontId="0" fillId="0" borderId="4" xfId="0" applyFill="1" applyBorder="1" applyAlignment="1">
      <alignment horizontal="center"/>
    </xf>
    <xf numFmtId="168" fontId="22" fillId="0" borderId="6" xfId="0" applyNumberFormat="1" applyFont="1" applyFill="1" applyBorder="1"/>
    <xf numFmtId="2" fontId="0" fillId="0" borderId="0" xfId="0" applyNumberFormat="1" applyFill="1" applyBorder="1" applyAlignment="1">
      <alignment horizontal="center"/>
    </xf>
    <xf numFmtId="2" fontId="50" fillId="0" borderId="7" xfId="0" applyNumberFormat="1" applyFont="1" applyFill="1" applyBorder="1" applyAlignment="1">
      <alignment horizontal="center"/>
    </xf>
    <xf numFmtId="0" fontId="68" fillId="0" borderId="5" xfId="0" applyFont="1" applyBorder="1" applyAlignment="1">
      <alignment horizontal="center" wrapText="1" shrinkToFit="1"/>
    </xf>
    <xf numFmtId="0" fontId="13" fillId="2" borderId="0" xfId="0" applyFont="1" applyFill="1" applyAlignment="1">
      <alignment vertical="center"/>
    </xf>
    <xf numFmtId="0" fontId="77" fillId="0" borderId="0" xfId="0" applyFont="1"/>
    <xf numFmtId="0" fontId="6" fillId="7" borderId="6" xfId="0" applyFont="1" applyFill="1" applyBorder="1" applyAlignment="1">
      <alignment horizontal="center"/>
    </xf>
    <xf numFmtId="0" fontId="4" fillId="7" borderId="4" xfId="0" applyFont="1" applyFill="1" applyBorder="1"/>
    <xf numFmtId="0" fontId="24" fillId="7" borderId="0" xfId="0" applyFont="1" applyFill="1" applyBorder="1" applyAlignment="1">
      <alignment horizontal="center"/>
    </xf>
    <xf numFmtId="4" fontId="24" fillId="7" borderId="4" xfId="0" applyNumberFormat="1" applyFont="1" applyFill="1" applyBorder="1"/>
    <xf numFmtId="0" fontId="44" fillId="7" borderId="0" xfId="0" applyFont="1" applyFill="1" applyBorder="1" applyAlignment="1">
      <alignment horizontal="center"/>
    </xf>
    <xf numFmtId="4" fontId="44" fillId="7" borderId="4" xfId="0" applyNumberFormat="1" applyFont="1" applyFill="1" applyBorder="1"/>
    <xf numFmtId="0" fontId="11" fillId="7" borderId="0" xfId="0" applyFont="1" applyFill="1" applyBorder="1" applyAlignment="1">
      <alignment horizontal="center"/>
    </xf>
    <xf numFmtId="4" fontId="11" fillId="7" borderId="4" xfId="0" applyNumberFormat="1" applyFont="1" applyFill="1" applyBorder="1"/>
    <xf numFmtId="2" fontId="17" fillId="7" borderId="2" xfId="0" applyNumberFormat="1" applyFont="1" applyFill="1" applyBorder="1"/>
    <xf numFmtId="0" fontId="4" fillId="7" borderId="4" xfId="0" applyFont="1" applyFill="1" applyBorder="1" applyAlignment="1"/>
    <xf numFmtId="0" fontId="6" fillId="7" borderId="0" xfId="0" applyFont="1" applyFill="1" applyBorder="1" applyAlignment="1">
      <alignment horizontal="center"/>
    </xf>
    <xf numFmtId="0" fontId="6" fillId="7" borderId="11" xfId="0" applyFont="1" applyFill="1" applyBorder="1" applyAlignment="1">
      <alignment horizontal="center"/>
    </xf>
    <xf numFmtId="0" fontId="4" fillId="7" borderId="10" xfId="0" applyFont="1" applyFill="1" applyBorder="1"/>
    <xf numFmtId="0" fontId="24" fillId="7" borderId="9" xfId="0" applyFont="1" applyFill="1" applyBorder="1" applyAlignment="1">
      <alignment horizontal="center"/>
    </xf>
    <xf numFmtId="4" fontId="24" fillId="7" borderId="10" xfId="0" applyNumberFormat="1" applyFont="1" applyFill="1" applyBorder="1"/>
    <xf numFmtId="0" fontId="44" fillId="7" borderId="9" xfId="0" applyFont="1" applyFill="1" applyBorder="1" applyAlignment="1">
      <alignment horizontal="center"/>
    </xf>
    <xf numFmtId="4" fontId="44" fillId="7" borderId="10" xfId="0" applyNumberFormat="1" applyFont="1" applyFill="1" applyBorder="1"/>
    <xf numFmtId="0" fontId="6" fillId="7" borderId="9" xfId="0" applyFont="1" applyFill="1" applyBorder="1" applyAlignment="1">
      <alignment horizontal="center"/>
    </xf>
    <xf numFmtId="4" fontId="11" fillId="7" borderId="10" xfId="0" applyNumberFormat="1" applyFont="1" applyFill="1" applyBorder="1"/>
    <xf numFmtId="2" fontId="17" fillId="7" borderId="3" xfId="0" applyNumberFormat="1" applyFont="1" applyFill="1" applyBorder="1"/>
    <xf numFmtId="4" fontId="79" fillId="7" borderId="4" xfId="0" applyNumberFormat="1" applyFont="1" applyFill="1" applyBorder="1"/>
    <xf numFmtId="4" fontId="80" fillId="7" borderId="4" xfId="0" applyNumberFormat="1" applyFont="1" applyFill="1" applyBorder="1"/>
    <xf numFmtId="4" fontId="79" fillId="7" borderId="3" xfId="0" applyNumberFormat="1" applyFont="1" applyFill="1" applyBorder="1"/>
    <xf numFmtId="0" fontId="81" fillId="0" borderId="13" xfId="0" applyFont="1" applyBorder="1"/>
    <xf numFmtId="0" fontId="0" fillId="0" borderId="5" xfId="0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2" fillId="0" borderId="7" xfId="0" applyFont="1" applyFill="1" applyBorder="1" applyAlignment="1">
      <alignment horizontal="center"/>
    </xf>
    <xf numFmtId="2" fontId="0" fillId="0" borderId="15" xfId="0" applyNumberFormat="1" applyFill="1" applyBorder="1" applyAlignment="1">
      <alignment horizontal="center"/>
    </xf>
    <xf numFmtId="0" fontId="18" fillId="0" borderId="8" xfId="0" applyFont="1" applyFill="1" applyBorder="1" applyAlignment="1">
      <alignment vertic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4" fontId="79" fillId="0" borderId="4" xfId="0" applyNumberFormat="1" applyFont="1" applyFill="1" applyBorder="1"/>
    <xf numFmtId="4" fontId="80" fillId="0" borderId="4" xfId="0" applyNumberFormat="1" applyFont="1" applyFill="1" applyBorder="1"/>
    <xf numFmtId="4" fontId="79" fillId="0" borderId="3" xfId="0" applyNumberFormat="1" applyFont="1" applyFill="1" applyBorder="1"/>
    <xf numFmtId="2" fontId="82" fillId="0" borderId="3" xfId="0" applyNumberFormat="1" applyFont="1" applyBorder="1" applyAlignment="1">
      <alignment horizontal="center" vertical="center"/>
    </xf>
    <xf numFmtId="0" fontId="83" fillId="0" borderId="0" xfId="0" applyFont="1" applyAlignment="1">
      <alignment horizontal="left"/>
    </xf>
    <xf numFmtId="0" fontId="83" fillId="0" borderId="0" xfId="0" quotePrefix="1" applyFont="1" applyAlignment="1">
      <alignment horizontal="left"/>
    </xf>
    <xf numFmtId="43" fontId="0" fillId="0" borderId="6" xfId="0" applyNumberFormat="1" applyBorder="1"/>
    <xf numFmtId="164" fontId="31" fillId="0" borderId="12" xfId="0" applyNumberFormat="1" applyFont="1" applyBorder="1" applyAlignment="1">
      <alignment horizontal="center"/>
    </xf>
    <xf numFmtId="2" fontId="62" fillId="3" borderId="2" xfId="0" applyNumberFormat="1" applyFont="1" applyFill="1" applyBorder="1"/>
    <xf numFmtId="4" fontId="84" fillId="2" borderId="4" xfId="0" applyNumberFormat="1" applyFont="1" applyFill="1" applyBorder="1"/>
    <xf numFmtId="0" fontId="83" fillId="0" borderId="0" xfId="0" applyFont="1" applyAlignment="1"/>
    <xf numFmtId="0" fontId="83" fillId="0" borderId="0" xfId="0" quotePrefix="1" applyFont="1" applyAlignment="1"/>
    <xf numFmtId="0" fontId="85" fillId="0" borderId="0" xfId="0" applyFont="1"/>
    <xf numFmtId="0" fontId="13" fillId="2" borderId="1" xfId="0" applyFont="1" applyFill="1" applyBorder="1"/>
    <xf numFmtId="164" fontId="19" fillId="0" borderId="3" xfId="0" applyNumberFormat="1" applyFont="1" applyBorder="1" applyAlignment="1">
      <alignment horizontal="center"/>
    </xf>
    <xf numFmtId="164" fontId="87" fillId="2" borderId="7" xfId="0" applyNumberFormat="1" applyFont="1" applyFill="1" applyBorder="1"/>
    <xf numFmtId="0" fontId="9" fillId="2" borderId="11" xfId="0" applyFont="1" applyFill="1" applyBorder="1" applyAlignment="1">
      <alignment horizontal="center"/>
    </xf>
    <xf numFmtId="0" fontId="13" fillId="2" borderId="10" xfId="0" applyFont="1" applyFill="1" applyBorder="1" applyAlignment="1"/>
    <xf numFmtId="0" fontId="9" fillId="2" borderId="9" xfId="0" applyFont="1" applyFill="1" applyBorder="1" applyAlignment="1">
      <alignment horizontal="center"/>
    </xf>
    <xf numFmtId="4" fontId="9" fillId="2" borderId="10" xfId="0" applyNumberFormat="1" applyFont="1" applyFill="1" applyBorder="1"/>
    <xf numFmtId="2" fontId="62" fillId="2" borderId="3" xfId="0" applyNumberFormat="1" applyFont="1" applyFill="1" applyBorder="1"/>
    <xf numFmtId="4" fontId="84" fillId="2" borderId="10" xfId="0" applyNumberFormat="1" applyFont="1" applyFill="1" applyBorder="1"/>
    <xf numFmtId="0" fontId="88" fillId="0" borderId="5" xfId="0" applyFont="1" applyBorder="1" applyAlignment="1">
      <alignment horizontal="center" wrapText="1" shrinkToFit="1"/>
    </xf>
    <xf numFmtId="0" fontId="89" fillId="0" borderId="5" xfId="0" applyFont="1" applyBorder="1" applyAlignment="1">
      <alignment horizontal="center" wrapText="1" shrinkToFit="1"/>
    </xf>
    <xf numFmtId="0" fontId="90" fillId="0" borderId="0" xfId="0" applyFont="1" applyBorder="1" applyAlignment="1">
      <alignment horizontal="center"/>
    </xf>
    <xf numFmtId="4" fontId="90" fillId="0" borderId="4" xfId="0" applyNumberFormat="1" applyFont="1" applyFill="1" applyBorder="1"/>
    <xf numFmtId="0" fontId="90" fillId="0" borderId="0" xfId="0" applyFont="1" applyFill="1" applyBorder="1" applyAlignment="1">
      <alignment horizontal="center"/>
    </xf>
    <xf numFmtId="0" fontId="90" fillId="2" borderId="0" xfId="0" applyFont="1" applyFill="1" applyBorder="1" applyAlignment="1">
      <alignment horizontal="center"/>
    </xf>
    <xf numFmtId="4" fontId="90" fillId="2" borderId="4" xfId="0" applyNumberFormat="1" applyFont="1" applyFill="1" applyBorder="1"/>
    <xf numFmtId="0" fontId="90" fillId="2" borderId="9" xfId="0" applyFont="1" applyFill="1" applyBorder="1" applyAlignment="1">
      <alignment horizontal="center"/>
    </xf>
    <xf numFmtId="4" fontId="90" fillId="2" borderId="10" xfId="0" applyNumberFormat="1" applyFont="1" applyFill="1" applyBorder="1"/>
    <xf numFmtId="0" fontId="91" fillId="0" borderId="5" xfId="0" applyFont="1" applyBorder="1" applyAlignment="1">
      <alignment horizontal="center" wrapText="1" shrinkToFit="1"/>
    </xf>
    <xf numFmtId="0" fontId="92" fillId="0" borderId="0" xfId="0" applyFont="1" applyBorder="1" applyAlignment="1">
      <alignment horizontal="center"/>
    </xf>
    <xf numFmtId="4" fontId="92" fillId="0" borderId="4" xfId="0" applyNumberFormat="1" applyFont="1" applyFill="1" applyBorder="1"/>
    <xf numFmtId="0" fontId="92" fillId="0" borderId="0" xfId="0" applyFont="1" applyFill="1" applyBorder="1" applyAlignment="1">
      <alignment horizontal="center"/>
    </xf>
    <xf numFmtId="0" fontId="92" fillId="2" borderId="0" xfId="0" applyFont="1" applyFill="1" applyBorder="1" applyAlignment="1">
      <alignment horizontal="center"/>
    </xf>
    <xf numFmtId="4" fontId="92" fillId="2" borderId="4" xfId="0" applyNumberFormat="1" applyFont="1" applyFill="1" applyBorder="1"/>
    <xf numFmtId="0" fontId="92" fillId="2" borderId="9" xfId="0" applyFont="1" applyFill="1" applyBorder="1" applyAlignment="1">
      <alignment horizontal="center"/>
    </xf>
    <xf numFmtId="4" fontId="92" fillId="2" borderId="10" xfId="0" applyNumberFormat="1" applyFont="1" applyFill="1" applyBorder="1"/>
    <xf numFmtId="1" fontId="93" fillId="0" borderId="3" xfId="0" applyNumberFormat="1" applyFont="1" applyBorder="1" applyAlignment="1">
      <alignment horizontal="center" vertical="center"/>
    </xf>
    <xf numFmtId="2" fontId="93" fillId="0" borderId="3" xfId="0" applyNumberFormat="1" applyFont="1" applyBorder="1" applyAlignment="1">
      <alignment horizontal="center" vertical="center"/>
    </xf>
    <xf numFmtId="4" fontId="94" fillId="0" borderId="4" xfId="0" applyNumberFormat="1" applyFont="1" applyFill="1" applyBorder="1"/>
    <xf numFmtId="4" fontId="94" fillId="0" borderId="10" xfId="0" applyNumberFormat="1" applyFont="1" applyFill="1" applyBorder="1"/>
    <xf numFmtId="2" fontId="7" fillId="0" borderId="10" xfId="0" applyNumberFormat="1" applyFont="1" applyFill="1" applyBorder="1" applyAlignment="1"/>
    <xf numFmtId="0" fontId="95" fillId="0" borderId="5" xfId="0" applyFont="1" applyBorder="1" applyAlignment="1">
      <alignment horizontal="center" wrapText="1" shrinkToFit="1"/>
    </xf>
    <xf numFmtId="0" fontId="96" fillId="0" borderId="0" xfId="0" applyFont="1" applyBorder="1" applyAlignment="1">
      <alignment horizontal="center"/>
    </xf>
    <xf numFmtId="4" fontId="96" fillId="0" borderId="4" xfId="0" applyNumberFormat="1" applyFont="1" applyFill="1" applyBorder="1"/>
    <xf numFmtId="0" fontId="96" fillId="0" borderId="0" xfId="0" applyFont="1" applyFill="1" applyBorder="1" applyAlignment="1">
      <alignment horizontal="center"/>
    </xf>
    <xf numFmtId="0" fontId="96" fillId="2" borderId="0" xfId="0" applyFont="1" applyFill="1" applyBorder="1" applyAlignment="1">
      <alignment horizontal="center"/>
    </xf>
    <xf numFmtId="4" fontId="96" fillId="2" borderId="4" xfId="0" applyNumberFormat="1" applyFont="1" applyFill="1" applyBorder="1"/>
    <xf numFmtId="0" fontId="96" fillId="0" borderId="9" xfId="0" applyFont="1" applyFill="1" applyBorder="1" applyAlignment="1">
      <alignment horizontal="center"/>
    </xf>
    <xf numFmtId="4" fontId="96" fillId="0" borderId="10" xfId="0" applyNumberFormat="1" applyFont="1" applyFill="1" applyBorder="1"/>
    <xf numFmtId="1" fontId="97" fillId="0" borderId="3" xfId="0" applyNumberFormat="1" applyFont="1" applyBorder="1" applyAlignment="1">
      <alignment horizontal="center" vertical="center"/>
    </xf>
    <xf numFmtId="2" fontId="97" fillId="0" borderId="3" xfId="0" applyNumberFormat="1" applyFont="1" applyBorder="1" applyAlignment="1">
      <alignment horizontal="center" vertical="center"/>
    </xf>
    <xf numFmtId="2" fontId="98" fillId="8" borderId="2" xfId="0" applyNumberFormat="1" applyFont="1" applyFill="1" applyBorder="1"/>
    <xf numFmtId="2" fontId="99" fillId="0" borderId="0" xfId="0" applyNumberFormat="1" applyFont="1"/>
    <xf numFmtId="166" fontId="100" fillId="0" borderId="0" xfId="0" applyNumberFormat="1" applyFont="1"/>
    <xf numFmtId="166" fontId="101" fillId="0" borderId="0" xfId="0" applyNumberFormat="1" applyFont="1"/>
    <xf numFmtId="0" fontId="102" fillId="0" borderId="5" xfId="0" applyFont="1" applyBorder="1" applyAlignment="1">
      <alignment horizontal="center" wrapText="1" shrinkToFit="1"/>
    </xf>
    <xf numFmtId="0" fontId="103" fillId="0" borderId="0" xfId="0" applyFont="1" applyBorder="1" applyAlignment="1">
      <alignment horizontal="center"/>
    </xf>
    <xf numFmtId="4" fontId="103" fillId="0" borderId="4" xfId="0" applyNumberFormat="1" applyFont="1" applyFill="1" applyBorder="1"/>
    <xf numFmtId="0" fontId="103" fillId="2" borderId="0" xfId="0" applyFont="1" applyFill="1" applyBorder="1" applyAlignment="1">
      <alignment horizontal="center"/>
    </xf>
    <xf numFmtId="4" fontId="103" fillId="2" borderId="4" xfId="0" applyNumberFormat="1" applyFont="1" applyFill="1" applyBorder="1"/>
    <xf numFmtId="0" fontId="103" fillId="0" borderId="0" xfId="0" applyFont="1" applyFill="1" applyBorder="1" applyAlignment="1">
      <alignment horizontal="center"/>
    </xf>
    <xf numFmtId="0" fontId="103" fillId="0" borderId="9" xfId="0" applyFont="1" applyFill="1" applyBorder="1" applyAlignment="1">
      <alignment horizontal="center"/>
    </xf>
    <xf numFmtId="4" fontId="103" fillId="0" borderId="10" xfId="0" applyNumberFormat="1" applyFont="1" applyFill="1" applyBorder="1"/>
    <xf numFmtId="1" fontId="104" fillId="0" borderId="3" xfId="0" applyNumberFormat="1" applyFont="1" applyBorder="1" applyAlignment="1">
      <alignment horizontal="center" vertical="center"/>
    </xf>
    <xf numFmtId="2" fontId="104" fillId="0" borderId="3" xfId="0" applyNumberFormat="1" applyFont="1" applyBorder="1" applyAlignment="1">
      <alignment horizontal="center" vertical="center"/>
    </xf>
    <xf numFmtId="0" fontId="105" fillId="0" borderId="8" xfId="0" applyFont="1" applyBorder="1" applyAlignment="1">
      <alignment horizontal="center" vertical="center" wrapText="1"/>
    </xf>
    <xf numFmtId="2" fontId="34" fillId="0" borderId="3" xfId="0" applyNumberFormat="1" applyFont="1" applyFill="1" applyBorder="1" applyAlignment="1"/>
    <xf numFmtId="0" fontId="106" fillId="0" borderId="6" xfId="0" applyFont="1" applyFill="1" applyBorder="1" applyAlignment="1">
      <alignment horizontal="center"/>
    </xf>
    <xf numFmtId="0" fontId="107" fillId="0" borderId="5" xfId="0" applyFont="1" applyBorder="1" applyAlignment="1">
      <alignment horizontal="center" wrapText="1" shrinkToFit="1"/>
    </xf>
    <xf numFmtId="0" fontId="108" fillId="0" borderId="5" xfId="0" applyFont="1" applyBorder="1" applyAlignment="1">
      <alignment horizontal="center" wrapText="1" shrinkToFit="1"/>
    </xf>
    <xf numFmtId="0" fontId="109" fillId="0" borderId="5" xfId="0" applyFont="1" applyBorder="1" applyAlignment="1">
      <alignment horizontal="center" wrapText="1" shrinkToFit="1"/>
    </xf>
    <xf numFmtId="0" fontId="110" fillId="0" borderId="5" xfId="0" applyFont="1" applyBorder="1" applyAlignment="1">
      <alignment horizontal="center" wrapText="1" shrinkToFit="1"/>
    </xf>
    <xf numFmtId="0" fontId="111" fillId="0" borderId="5" xfId="0" applyFont="1" applyBorder="1" applyAlignment="1">
      <alignment horizontal="center" wrapText="1" shrinkToFit="1"/>
    </xf>
    <xf numFmtId="0" fontId="112" fillId="0" borderId="0" xfId="0" applyFont="1" applyBorder="1" applyAlignment="1">
      <alignment horizontal="center"/>
    </xf>
    <xf numFmtId="4" fontId="112" fillId="0" borderId="4" xfId="0" applyNumberFormat="1" applyFont="1" applyFill="1" applyBorder="1"/>
    <xf numFmtId="0" fontId="112" fillId="0" borderId="0" xfId="0" applyFont="1" applyFill="1" applyBorder="1" applyAlignment="1">
      <alignment horizontal="center"/>
    </xf>
    <xf numFmtId="0" fontId="112" fillId="2" borderId="0" xfId="0" applyFont="1" applyFill="1" applyBorder="1" applyAlignment="1">
      <alignment horizontal="center"/>
    </xf>
    <xf numFmtId="4" fontId="112" fillId="2" borderId="4" xfId="0" applyNumberFormat="1" applyFont="1" applyFill="1" applyBorder="1"/>
    <xf numFmtId="3" fontId="112" fillId="0" borderId="6" xfId="0" applyNumberFormat="1" applyFont="1" applyFill="1" applyBorder="1" applyAlignment="1">
      <alignment horizontal="center"/>
    </xf>
    <xf numFmtId="2" fontId="112" fillId="0" borderId="4" xfId="0" applyNumberFormat="1" applyFont="1" applyFill="1" applyBorder="1" applyAlignment="1"/>
    <xf numFmtId="0" fontId="112" fillId="0" borderId="9" xfId="0" applyFont="1" applyFill="1" applyBorder="1" applyAlignment="1">
      <alignment horizontal="center"/>
    </xf>
    <xf numFmtId="4" fontId="112" fillId="0" borderId="10" xfId="0" applyNumberFormat="1" applyFont="1" applyFill="1" applyBorder="1"/>
    <xf numFmtId="1" fontId="113" fillId="0" borderId="3" xfId="0" applyNumberFormat="1" applyFont="1" applyBorder="1" applyAlignment="1">
      <alignment horizontal="center" vertical="center"/>
    </xf>
    <xf numFmtId="0" fontId="114" fillId="0" borderId="4" xfId="0" applyFont="1" applyFill="1" applyBorder="1"/>
    <xf numFmtId="2" fontId="115" fillId="0" borderId="3" xfId="0" applyNumberFormat="1" applyFont="1" applyBorder="1" applyAlignment="1">
      <alignment horizontal="center" vertical="center"/>
    </xf>
    <xf numFmtId="2" fontId="116" fillId="0" borderId="3" xfId="0" applyNumberFormat="1" applyFont="1" applyBorder="1" applyAlignment="1">
      <alignment horizontal="center" vertical="center"/>
    </xf>
    <xf numFmtId="2" fontId="117" fillId="0" borderId="3" xfId="0" applyNumberFormat="1" applyFont="1" applyBorder="1" applyAlignment="1">
      <alignment horizontal="center" vertical="center"/>
    </xf>
    <xf numFmtId="0" fontId="106" fillId="2" borderId="6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18" fillId="2" borderId="0" xfId="0" applyFont="1" applyFill="1"/>
    <xf numFmtId="0" fontId="113" fillId="2" borderId="0" xfId="0" applyFont="1" applyFill="1" applyBorder="1" applyAlignment="1">
      <alignment horizontal="center"/>
    </xf>
    <xf numFmtId="4" fontId="113" fillId="2" borderId="4" xfId="0" applyNumberFormat="1" applyFont="1" applyFill="1" applyBorder="1"/>
    <xf numFmtId="0" fontId="45" fillId="2" borderId="0" xfId="0" applyFont="1" applyFill="1" applyBorder="1" applyAlignment="1">
      <alignment horizontal="center"/>
    </xf>
    <xf numFmtId="4" fontId="45" fillId="2" borderId="4" xfId="0" applyNumberFormat="1" applyFont="1" applyFill="1" applyBorder="1"/>
    <xf numFmtId="0" fontId="75" fillId="2" borderId="0" xfId="0" applyFont="1" applyFill="1" applyBorder="1" applyAlignment="1">
      <alignment horizontal="center"/>
    </xf>
    <xf numFmtId="4" fontId="75" fillId="2" borderId="4" xfId="0" applyNumberFormat="1" applyFont="1" applyFill="1" applyBorder="1"/>
    <xf numFmtId="2" fontId="29" fillId="2" borderId="2" xfId="0" applyNumberFormat="1" applyFont="1" applyFill="1" applyBorder="1"/>
    <xf numFmtId="0" fontId="113" fillId="0" borderId="0" xfId="0" applyFont="1" applyFill="1" applyBorder="1" applyAlignment="1">
      <alignment horizontal="center"/>
    </xf>
    <xf numFmtId="4" fontId="113" fillId="0" borderId="4" xfId="0" applyNumberFormat="1" applyFont="1" applyFill="1" applyBorder="1"/>
    <xf numFmtId="0" fontId="45" fillId="0" borderId="0" xfId="0" applyFont="1" applyFill="1" applyBorder="1" applyAlignment="1">
      <alignment horizontal="center"/>
    </xf>
    <xf numFmtId="4" fontId="45" fillId="0" borderId="4" xfId="0" applyNumberFormat="1" applyFont="1" applyFill="1" applyBorder="1"/>
    <xf numFmtId="0" fontId="75" fillId="0" borderId="0" xfId="0" applyFont="1" applyFill="1" applyBorder="1" applyAlignment="1">
      <alignment horizontal="center"/>
    </xf>
    <xf numFmtId="4" fontId="75" fillId="0" borderId="4" xfId="0" applyNumberFormat="1" applyFont="1" applyFill="1" applyBorder="1"/>
    <xf numFmtId="2" fontId="29" fillId="0" borderId="2" xfId="0" applyNumberFormat="1" applyFont="1" applyFill="1" applyBorder="1"/>
    <xf numFmtId="0" fontId="1" fillId="0" borderId="0" xfId="0" applyFont="1" applyFill="1" applyAlignment="1">
      <alignment horizontal="center"/>
    </xf>
    <xf numFmtId="0" fontId="119" fillId="0" borderId="4" xfId="0" applyFont="1" applyFill="1" applyBorder="1"/>
    <xf numFmtId="0" fontId="28" fillId="2" borderId="0" xfId="0" applyFont="1" applyFill="1" applyBorder="1" applyAlignment="1"/>
    <xf numFmtId="165" fontId="30" fillId="4" borderId="6" xfId="0" applyNumberFormat="1" applyFont="1" applyFill="1" applyBorder="1" applyAlignment="1">
      <alignment horizontal="center" vertical="center"/>
    </xf>
    <xf numFmtId="165" fontId="30" fillId="4" borderId="0" xfId="0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wrapText="1"/>
    </xf>
    <xf numFmtId="0" fontId="22" fillId="0" borderId="3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65" fontId="4" fillId="2" borderId="6" xfId="0" applyNumberFormat="1" applyFont="1" applyFill="1" applyBorder="1" applyAlignment="1">
      <alignment horizontal="center" vertical="center"/>
    </xf>
    <xf numFmtId="165" fontId="4" fillId="2" borderId="0" xfId="0" applyNumberFormat="1" applyFont="1" applyFill="1" applyBorder="1" applyAlignment="1">
      <alignment horizontal="center" vertical="center"/>
    </xf>
    <xf numFmtId="0" fontId="28" fillId="0" borderId="0" xfId="0" applyFont="1" applyBorder="1" applyAlignment="1"/>
  </cellXfs>
  <cellStyles count="3">
    <cellStyle name="Diseño" xfId="1"/>
    <cellStyle name="Millares" xfId="2" builtinId="3"/>
    <cellStyle name="Normal" xfId="0" builtinId="0"/>
  </cellStyles>
  <dxfs count="123"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/>
        <i val="0"/>
        <strike val="0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  <dxf>
      <font>
        <b/>
        <i val="0"/>
        <strike val="0"/>
      </font>
    </dxf>
    <dxf>
      <font>
        <b val="0"/>
        <i val="0"/>
        <color theme="0" tint="-4.9989318521683403E-2"/>
      </font>
    </dxf>
  </dxfs>
  <tableStyles count="0" defaultTableStyle="TableStyleMedium9" defaultPivotStyle="PivotStyleLight16"/>
  <colors>
    <mruColors>
      <color rgb="FFFFFFCC"/>
      <color rgb="FFCCECFF"/>
      <color rgb="FF006666"/>
      <color rgb="FF006699"/>
      <color rgb="FF0016EA"/>
      <color rgb="FFCC00FF"/>
      <color rgb="FFE400EA"/>
      <color rgb="FFC714F8"/>
      <color rgb="FFFFFF66"/>
      <color rgb="FF9933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</xdr:colOff>
      <xdr:row>18</xdr:row>
      <xdr:rowOff>179296</xdr:rowOff>
    </xdr:from>
    <xdr:to>
      <xdr:col>24</xdr:col>
      <xdr:colOff>488952</xdr:colOff>
      <xdr:row>37</xdr:row>
      <xdr:rowOff>134472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35727" b="26664"/>
        <a:stretch>
          <a:fillRect/>
        </a:stretch>
      </xdr:blipFill>
      <xdr:spPr bwMode="auto">
        <a:xfrm>
          <a:off x="7138149" y="3686737"/>
          <a:ext cx="4780803" cy="359708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58"/>
  <sheetViews>
    <sheetView tabSelected="1" zoomScale="85" zoomScaleNormal="85" workbookViewId="0">
      <pane xSplit="10" ySplit="3" topLeftCell="K4" activePane="bottomRight" state="frozen"/>
      <selection pane="topRight" activeCell="K1" sqref="K1"/>
      <selection pane="bottomLeft" activeCell="A5" sqref="A5"/>
      <selection pane="bottomRight" activeCell="K4" sqref="K4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6.28515625" customWidth="1"/>
    <col min="9" max="9" width="7.42578125" customWidth="1"/>
    <col min="10" max="10" width="28.7109375" customWidth="1"/>
    <col min="11" max="12" width="2.7109375" customWidth="1"/>
    <col min="13" max="13" width="6.7109375" customWidth="1"/>
    <col min="14" max="14" width="7.7109375" customWidth="1"/>
    <col min="15" max="15" width="6.7109375" customWidth="1"/>
    <col min="16" max="16" width="9.7109375" customWidth="1"/>
    <col min="17" max="17" width="4.42578125" customWidth="1"/>
    <col min="18" max="18" width="11.5703125" customWidth="1"/>
    <col min="19" max="19" width="8.140625" style="103" bestFit="1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 ht="14.1" customHeight="1">
      <c r="H2" s="83"/>
      <c r="I2" s="429" t="s">
        <v>525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430">
        <f ca="1">+TODAY()</f>
        <v>43825</v>
      </c>
      <c r="U2" s="431"/>
      <c r="V2" s="431"/>
    </row>
    <row r="3" spans="8:29" ht="36.950000000000003" customHeight="1">
      <c r="H3" s="83" t="s">
        <v>143</v>
      </c>
      <c r="I3" s="268" t="s">
        <v>249</v>
      </c>
      <c r="J3" s="267" t="s">
        <v>248</v>
      </c>
      <c r="K3" s="394" t="s">
        <v>15</v>
      </c>
      <c r="L3" s="395" t="s">
        <v>526</v>
      </c>
      <c r="M3" s="198" t="s">
        <v>15</v>
      </c>
      <c r="N3" s="285" t="s">
        <v>529</v>
      </c>
      <c r="O3" s="391" t="s">
        <v>15</v>
      </c>
      <c r="P3" s="392" t="s">
        <v>527</v>
      </c>
      <c r="Q3" s="393" t="s">
        <v>528</v>
      </c>
      <c r="R3" s="88" t="s">
        <v>103</v>
      </c>
      <c r="S3" s="388" t="s">
        <v>507</v>
      </c>
      <c r="T3" s="89"/>
      <c r="U3" s="83"/>
      <c r="V3" s="83"/>
    </row>
    <row r="4" spans="8:29">
      <c r="H4" s="83"/>
      <c r="I4" s="126" t="s">
        <v>5</v>
      </c>
      <c r="J4" s="80" t="s">
        <v>117</v>
      </c>
      <c r="K4" s="396"/>
      <c r="L4" s="397">
        <v>0</v>
      </c>
      <c r="M4" s="162"/>
      <c r="N4" s="163">
        <f>5*M4</f>
        <v>0</v>
      </c>
      <c r="O4" s="76">
        <v>29</v>
      </c>
      <c r="P4" s="75">
        <f t="shared" ref="P4:P42" si="0">IF(O4&gt;25,150,(O4)*6)</f>
        <v>150</v>
      </c>
      <c r="Q4" s="217"/>
      <c r="R4" s="11">
        <f t="shared" ref="R4:R42" si="1">+L4+N4+P4+Q4</f>
        <v>150</v>
      </c>
      <c r="S4" s="106"/>
      <c r="T4" s="5"/>
      <c r="U4" s="258">
        <v>815.2</v>
      </c>
      <c r="V4" s="259">
        <v>94</v>
      </c>
      <c r="W4" s="260">
        <v>721.2</v>
      </c>
      <c r="X4" s="333" t="s">
        <v>215</v>
      </c>
      <c r="Y4" s="266"/>
    </row>
    <row r="5" spans="8:29">
      <c r="H5" s="95"/>
      <c r="I5" s="25" t="s">
        <v>64</v>
      </c>
      <c r="J5" s="81" t="s">
        <v>138</v>
      </c>
      <c r="K5" s="398"/>
      <c r="L5" s="397">
        <f>+K5*3</f>
        <v>0</v>
      </c>
      <c r="M5" s="164"/>
      <c r="N5" s="163">
        <v>0</v>
      </c>
      <c r="O5" s="28">
        <v>26</v>
      </c>
      <c r="P5" s="75">
        <f t="shared" si="0"/>
        <v>150</v>
      </c>
      <c r="Q5" s="218"/>
      <c r="R5" s="11">
        <f t="shared" si="1"/>
        <v>150</v>
      </c>
      <c r="S5" s="107"/>
      <c r="T5" s="5"/>
      <c r="U5" s="326">
        <f>+V5+W5</f>
        <v>813.84359400998335</v>
      </c>
      <c r="V5" s="256">
        <f>+V4*W5/W4</f>
        <v>93.843594009983349</v>
      </c>
      <c r="W5" s="261">
        <v>720</v>
      </c>
      <c r="X5" s="334" t="s">
        <v>381</v>
      </c>
    </row>
    <row r="6" spans="8:29">
      <c r="H6" s="142"/>
      <c r="I6" s="390" t="s">
        <v>387</v>
      </c>
      <c r="J6" s="270" t="s">
        <v>388</v>
      </c>
      <c r="K6" s="398"/>
      <c r="L6" s="397">
        <v>0</v>
      </c>
      <c r="M6" s="164"/>
      <c r="N6" s="163">
        <v>0</v>
      </c>
      <c r="O6" s="271">
        <v>28</v>
      </c>
      <c r="P6" s="272">
        <f t="shared" si="0"/>
        <v>150</v>
      </c>
      <c r="Q6" s="273"/>
      <c r="R6" s="272">
        <f t="shared" si="1"/>
        <v>150</v>
      </c>
      <c r="S6" s="274"/>
      <c r="T6" s="5"/>
      <c r="U6" s="32">
        <f>+U4-U5+0.01</f>
        <v>1.3664059900166967</v>
      </c>
      <c r="V6" s="47"/>
      <c r="W6" s="33"/>
      <c r="X6" s="262" t="s">
        <v>59</v>
      </c>
    </row>
    <row r="7" spans="8:29">
      <c r="H7" s="95"/>
      <c r="I7" s="25" t="s">
        <v>2</v>
      </c>
      <c r="J7" s="81" t="s">
        <v>107</v>
      </c>
      <c r="K7" s="398"/>
      <c r="L7" s="397">
        <f>+K7*3</f>
        <v>0</v>
      </c>
      <c r="M7" s="164"/>
      <c r="N7" s="163">
        <f>+M7*3</f>
        <v>0</v>
      </c>
      <c r="O7" s="28">
        <v>33</v>
      </c>
      <c r="P7" s="75">
        <f t="shared" si="0"/>
        <v>150</v>
      </c>
      <c r="Q7" s="218"/>
      <c r="R7" s="11">
        <f t="shared" si="1"/>
        <v>150</v>
      </c>
      <c r="S7" s="107"/>
      <c r="T7" s="5"/>
      <c r="U7" s="34">
        <v>150</v>
      </c>
      <c r="V7" s="335">
        <f>+U7-U6</f>
        <v>148.63359400998331</v>
      </c>
      <c r="W7" s="39" t="s">
        <v>63</v>
      </c>
      <c r="X7" s="263">
        <f>150-V7</f>
        <v>1.3664059900166876</v>
      </c>
    </row>
    <row r="8" spans="8:29">
      <c r="H8" s="95"/>
      <c r="I8" s="25" t="s">
        <v>42</v>
      </c>
      <c r="J8" s="81" t="s">
        <v>119</v>
      </c>
      <c r="K8" s="398"/>
      <c r="L8" s="397">
        <f>+K8*3</f>
        <v>0</v>
      </c>
      <c r="M8" s="164"/>
      <c r="N8" s="163">
        <f>+M8*3</f>
        <v>0</v>
      </c>
      <c r="O8" s="28">
        <v>27</v>
      </c>
      <c r="P8" s="75">
        <f t="shared" si="0"/>
        <v>150</v>
      </c>
      <c r="Q8" s="374"/>
      <c r="R8" s="11">
        <f t="shared" si="1"/>
        <v>150</v>
      </c>
      <c r="S8" s="107"/>
      <c r="T8" s="5"/>
      <c r="X8" s="37"/>
    </row>
    <row r="9" spans="8:29" ht="15" customHeight="1">
      <c r="H9" s="251" t="s">
        <v>50</v>
      </c>
      <c r="I9" s="275" t="s">
        <v>1</v>
      </c>
      <c r="J9" s="276" t="s">
        <v>106</v>
      </c>
      <c r="K9" s="399"/>
      <c r="L9" s="400">
        <f>3*K9</f>
        <v>0</v>
      </c>
      <c r="M9" s="160"/>
      <c r="N9" s="161">
        <f>3*M9</f>
        <v>0</v>
      </c>
      <c r="O9" s="277"/>
      <c r="P9" s="278">
        <f t="shared" si="0"/>
        <v>0</v>
      </c>
      <c r="Q9" s="279"/>
      <c r="R9" s="278">
        <f t="shared" si="1"/>
        <v>0</v>
      </c>
      <c r="S9" s="280"/>
      <c r="T9" s="5"/>
      <c r="U9" s="258">
        <v>988</v>
      </c>
      <c r="V9" s="259">
        <v>118.76</v>
      </c>
      <c r="W9" s="260">
        <v>869.24</v>
      </c>
      <c r="X9" s="333" t="s">
        <v>349</v>
      </c>
      <c r="Y9" s="266"/>
    </row>
    <row r="10" spans="8:29">
      <c r="H10" s="95"/>
      <c r="I10" s="25" t="s">
        <v>56</v>
      </c>
      <c r="J10" s="81" t="s">
        <v>136</v>
      </c>
      <c r="K10" s="398"/>
      <c r="L10" s="397">
        <v>0</v>
      </c>
      <c r="M10" s="164"/>
      <c r="N10" s="163">
        <f>3*M10</f>
        <v>0</v>
      </c>
      <c r="O10" s="28">
        <v>30</v>
      </c>
      <c r="P10" s="75">
        <f t="shared" si="0"/>
        <v>150</v>
      </c>
      <c r="Q10" s="374"/>
      <c r="R10" s="11">
        <f t="shared" si="1"/>
        <v>150</v>
      </c>
      <c r="S10" s="107"/>
      <c r="T10" s="5"/>
      <c r="U10" s="326">
        <f>+V10+W10</f>
        <v>935.44245547834896</v>
      </c>
      <c r="V10" s="256">
        <f>+V9*W10/W9</f>
        <v>112.44245547834892</v>
      </c>
      <c r="W10" s="261">
        <v>823</v>
      </c>
      <c r="X10" s="334" t="s">
        <v>348</v>
      </c>
    </row>
    <row r="11" spans="8:29">
      <c r="H11" s="95"/>
      <c r="I11" s="25" t="s">
        <v>16</v>
      </c>
      <c r="J11" s="81" t="s">
        <v>113</v>
      </c>
      <c r="K11" s="398"/>
      <c r="L11" s="397">
        <v>0</v>
      </c>
      <c r="M11" s="164"/>
      <c r="N11" s="163">
        <f>3*M11</f>
        <v>0</v>
      </c>
      <c r="O11" s="28"/>
      <c r="P11" s="75">
        <f t="shared" si="0"/>
        <v>0</v>
      </c>
      <c r="Q11" s="374"/>
      <c r="R11" s="11">
        <f t="shared" si="1"/>
        <v>0</v>
      </c>
      <c r="S11" s="107"/>
      <c r="T11" s="5"/>
      <c r="U11" s="32">
        <f>+U9-U10</f>
        <v>52.557544521651039</v>
      </c>
      <c r="V11" s="47"/>
      <c r="W11" s="33"/>
      <c r="X11" s="262" t="s">
        <v>59</v>
      </c>
    </row>
    <row r="12" spans="8:29">
      <c r="H12" s="83"/>
      <c r="I12" s="25" t="s">
        <v>20</v>
      </c>
      <c r="J12" s="81" t="s">
        <v>195</v>
      </c>
      <c r="K12" s="398"/>
      <c r="L12" s="397">
        <f>+K12*3</f>
        <v>0</v>
      </c>
      <c r="M12" s="164"/>
      <c r="N12" s="163">
        <f>+M12*3</f>
        <v>0</v>
      </c>
      <c r="O12" s="74">
        <v>34</v>
      </c>
      <c r="P12" s="75">
        <f t="shared" si="0"/>
        <v>150</v>
      </c>
      <c r="Q12" s="217"/>
      <c r="R12" s="9">
        <f t="shared" si="1"/>
        <v>150</v>
      </c>
      <c r="S12" s="107"/>
      <c r="T12" s="5"/>
      <c r="U12" s="34">
        <v>150</v>
      </c>
      <c r="V12" s="38">
        <f>+U12-U11</f>
        <v>97.442455478348961</v>
      </c>
      <c r="W12" s="39" t="s">
        <v>63</v>
      </c>
      <c r="X12" s="263">
        <f>150-V12</f>
        <v>52.557544521651039</v>
      </c>
    </row>
    <row r="13" spans="8:29">
      <c r="H13" s="83"/>
      <c r="I13" s="25" t="s">
        <v>459</v>
      </c>
      <c r="J13" s="428" t="s">
        <v>460</v>
      </c>
      <c r="K13" s="398"/>
      <c r="L13" s="397">
        <v>0</v>
      </c>
      <c r="M13" s="164"/>
      <c r="N13" s="163">
        <v>0</v>
      </c>
      <c r="O13" s="74">
        <v>18</v>
      </c>
      <c r="P13" s="75">
        <f t="shared" si="0"/>
        <v>108</v>
      </c>
      <c r="Q13" s="217"/>
      <c r="R13" s="9">
        <f t="shared" si="1"/>
        <v>108</v>
      </c>
      <c r="S13" s="107"/>
      <c r="T13" s="5"/>
      <c r="U13" s="10"/>
      <c r="X13" s="37"/>
    </row>
    <row r="14" spans="8:29">
      <c r="H14" s="251" t="s">
        <v>50</v>
      </c>
      <c r="I14" s="275" t="s">
        <v>272</v>
      </c>
      <c r="J14" s="276" t="s">
        <v>271</v>
      </c>
      <c r="K14" s="399"/>
      <c r="L14" s="400">
        <v>0</v>
      </c>
      <c r="M14" s="160"/>
      <c r="N14" s="161">
        <v>0</v>
      </c>
      <c r="O14" s="277"/>
      <c r="P14" s="278">
        <f t="shared" si="0"/>
        <v>0</v>
      </c>
      <c r="Q14" s="279"/>
      <c r="R14" s="278">
        <f t="shared" si="1"/>
        <v>0</v>
      </c>
      <c r="S14" s="280"/>
      <c r="T14" s="5"/>
      <c r="U14" s="258">
        <v>880</v>
      </c>
      <c r="V14" s="259">
        <v>114.4</v>
      </c>
      <c r="W14" s="327">
        <v>765.6</v>
      </c>
      <c r="X14" s="100"/>
      <c r="Y14" s="266"/>
      <c r="Z14" s="311" t="s">
        <v>291</v>
      </c>
      <c r="AA14" s="177"/>
      <c r="AB14" s="178"/>
      <c r="AC14" s="432" t="s">
        <v>290</v>
      </c>
    </row>
    <row r="15" spans="8:29">
      <c r="H15" s="95"/>
      <c r="I15" s="25" t="s">
        <v>25</v>
      </c>
      <c r="J15" s="81" t="s">
        <v>118</v>
      </c>
      <c r="K15" s="398"/>
      <c r="L15" s="397">
        <f>+K15*3</f>
        <v>0</v>
      </c>
      <c r="M15" s="164"/>
      <c r="N15" s="163">
        <f>+M15*3</f>
        <v>0</v>
      </c>
      <c r="O15" s="28">
        <v>21</v>
      </c>
      <c r="P15" s="75">
        <f t="shared" si="0"/>
        <v>126</v>
      </c>
      <c r="Q15" s="218"/>
      <c r="R15" s="11">
        <f t="shared" si="1"/>
        <v>126</v>
      </c>
      <c r="S15" s="107"/>
      <c r="T15" s="5"/>
      <c r="U15" s="326">
        <f>+V15+W15</f>
        <v>945.97701149425291</v>
      </c>
      <c r="V15" s="256">
        <f>+V14*W15/W14</f>
        <v>122.97701149425289</v>
      </c>
      <c r="W15" s="261">
        <v>823</v>
      </c>
      <c r="X15" s="36" t="s">
        <v>350</v>
      </c>
      <c r="Z15" s="312" t="s">
        <v>292</v>
      </c>
      <c r="AA15" s="313" t="s">
        <v>293</v>
      </c>
      <c r="AB15" s="312" t="s">
        <v>277</v>
      </c>
      <c r="AC15" s="433"/>
    </row>
    <row r="16" spans="8:29">
      <c r="H16" s="95"/>
      <c r="I16" s="25" t="s">
        <v>41</v>
      </c>
      <c r="J16" s="81" t="s">
        <v>112</v>
      </c>
      <c r="K16" s="398"/>
      <c r="L16" s="397">
        <f>+K16*3</f>
        <v>0</v>
      </c>
      <c r="M16" s="164"/>
      <c r="N16" s="163">
        <f>+M16*3</f>
        <v>0</v>
      </c>
      <c r="O16" s="28">
        <v>24</v>
      </c>
      <c r="P16" s="75">
        <f t="shared" si="0"/>
        <v>144</v>
      </c>
      <c r="Q16" s="218"/>
      <c r="R16" s="11">
        <f t="shared" si="1"/>
        <v>144</v>
      </c>
      <c r="S16" s="107"/>
      <c r="T16" s="5"/>
      <c r="U16" s="32">
        <f>+U14-U15</f>
        <v>-65.977011494252906</v>
      </c>
      <c r="V16" s="47"/>
      <c r="W16" s="33"/>
      <c r="X16" s="262" t="s">
        <v>59</v>
      </c>
      <c r="Z16" s="282">
        <v>43673</v>
      </c>
      <c r="AA16" s="317">
        <v>1</v>
      </c>
      <c r="AB16" s="281">
        <v>3</v>
      </c>
      <c r="AC16" s="174" t="s">
        <v>157</v>
      </c>
    </row>
    <row r="17" spans="1:29">
      <c r="A17" s="215"/>
      <c r="H17" s="83"/>
      <c r="I17" s="126" t="s">
        <v>71</v>
      </c>
      <c r="J17" s="80" t="s">
        <v>139</v>
      </c>
      <c r="K17" s="396"/>
      <c r="L17" s="397">
        <f>5*K17</f>
        <v>0</v>
      </c>
      <c r="M17" s="162"/>
      <c r="N17" s="163">
        <f>5*M17</f>
        <v>0</v>
      </c>
      <c r="O17" s="76"/>
      <c r="P17" s="75">
        <f t="shared" si="0"/>
        <v>0</v>
      </c>
      <c r="Q17" s="218"/>
      <c r="R17" s="11">
        <f t="shared" si="1"/>
        <v>0</v>
      </c>
      <c r="S17" s="106"/>
      <c r="T17" s="5"/>
      <c r="U17" s="34">
        <v>150</v>
      </c>
      <c r="V17" s="38">
        <f>+U17-U16</f>
        <v>215.97701149425291</v>
      </c>
      <c r="W17" s="39" t="s">
        <v>63</v>
      </c>
      <c r="X17" s="263">
        <f>150-V17</f>
        <v>-65.977011494252906</v>
      </c>
      <c r="Z17" s="282">
        <f>1+Z16</f>
        <v>43674</v>
      </c>
      <c r="AA17" s="318">
        <v>1</v>
      </c>
      <c r="AB17" s="281">
        <v>5</v>
      </c>
      <c r="AC17" s="33" t="s">
        <v>156</v>
      </c>
    </row>
    <row r="18" spans="1:29">
      <c r="A18" s="215"/>
      <c r="H18" s="95"/>
      <c r="I18" s="25" t="s">
        <v>28</v>
      </c>
      <c r="J18" s="81" t="s">
        <v>122</v>
      </c>
      <c r="K18" s="398"/>
      <c r="L18" s="397">
        <f>+K18*3</f>
        <v>0</v>
      </c>
      <c r="M18" s="164"/>
      <c r="N18" s="163">
        <f>+M18*3</f>
        <v>0</v>
      </c>
      <c r="O18" s="28">
        <v>29</v>
      </c>
      <c r="P18" s="75">
        <f t="shared" si="0"/>
        <v>150</v>
      </c>
      <c r="Q18" s="218"/>
      <c r="R18" s="11">
        <f t="shared" si="1"/>
        <v>150</v>
      </c>
      <c r="S18" s="107"/>
      <c r="T18" s="5"/>
      <c r="U18" s="10"/>
      <c r="X18" s="37"/>
      <c r="Z18" s="282">
        <f t="shared" ref="Z18:Z26" si="2">1+Z17</f>
        <v>43675</v>
      </c>
      <c r="AA18" s="318">
        <v>1</v>
      </c>
      <c r="AB18" s="281">
        <v>5</v>
      </c>
      <c r="AC18" s="33" t="s">
        <v>151</v>
      </c>
    </row>
    <row r="19" spans="1:29">
      <c r="H19" s="141"/>
      <c r="I19" s="390" t="s">
        <v>270</v>
      </c>
      <c r="J19" s="270" t="s">
        <v>273</v>
      </c>
      <c r="K19" s="398"/>
      <c r="L19" s="397">
        <f>3*K19</f>
        <v>0</v>
      </c>
      <c r="M19" s="164">
        <v>15</v>
      </c>
      <c r="N19" s="163">
        <v>0</v>
      </c>
      <c r="O19" s="271"/>
      <c r="P19" s="272">
        <f t="shared" si="0"/>
        <v>0</v>
      </c>
      <c r="Q19" s="218"/>
      <c r="R19" s="272">
        <f t="shared" si="1"/>
        <v>0</v>
      </c>
      <c r="S19" s="274"/>
      <c r="T19" s="5"/>
      <c r="U19" s="258">
        <v>900</v>
      </c>
      <c r="V19" s="259">
        <f>+U19*0.13</f>
        <v>117</v>
      </c>
      <c r="W19" s="327">
        <f>+V19+U19</f>
        <v>1017</v>
      </c>
      <c r="X19" s="100"/>
      <c r="Y19" s="266"/>
      <c r="Z19" s="282">
        <f t="shared" si="2"/>
        <v>43676</v>
      </c>
      <c r="AA19" s="318">
        <v>1</v>
      </c>
      <c r="AB19" s="281">
        <v>2</v>
      </c>
      <c r="AC19" s="33" t="s">
        <v>152</v>
      </c>
    </row>
    <row r="20" spans="1:29">
      <c r="A20" s="215"/>
      <c r="H20" s="142"/>
      <c r="I20" s="25" t="s">
        <v>4</v>
      </c>
      <c r="J20" s="81" t="s">
        <v>111</v>
      </c>
      <c r="K20" s="398"/>
      <c r="L20" s="397">
        <f>3*K20</f>
        <v>0</v>
      </c>
      <c r="M20" s="164">
        <v>16</v>
      </c>
      <c r="N20" s="163">
        <v>0</v>
      </c>
      <c r="O20" s="28"/>
      <c r="P20" s="75">
        <f t="shared" si="0"/>
        <v>0</v>
      </c>
      <c r="Q20" s="218"/>
      <c r="R20" s="11">
        <f t="shared" si="1"/>
        <v>0</v>
      </c>
      <c r="S20" s="107"/>
      <c r="T20" s="5"/>
      <c r="U20" s="326">
        <f>+V20+W20</f>
        <v>802.83185840707961</v>
      </c>
      <c r="V20" s="256">
        <f>+V19*W20/W19</f>
        <v>82.83185840707965</v>
      </c>
      <c r="W20" s="261">
        <v>720</v>
      </c>
      <c r="X20" s="36" t="s">
        <v>350</v>
      </c>
      <c r="Z20" s="282">
        <f t="shared" si="2"/>
        <v>43677</v>
      </c>
      <c r="AA20" s="318"/>
      <c r="AB20" s="281"/>
      <c r="AC20" s="33" t="s">
        <v>153</v>
      </c>
    </row>
    <row r="21" spans="1:29">
      <c r="A21" s="215"/>
      <c r="H21" s="142"/>
      <c r="I21" s="25" t="s">
        <v>9</v>
      </c>
      <c r="J21" s="81" t="s">
        <v>128</v>
      </c>
      <c r="K21" s="398"/>
      <c r="L21" s="397">
        <v>0</v>
      </c>
      <c r="M21" s="164"/>
      <c r="N21" s="163">
        <v>0</v>
      </c>
      <c r="O21" s="28"/>
      <c r="P21" s="75">
        <f t="shared" si="0"/>
        <v>0</v>
      </c>
      <c r="Q21" s="218"/>
      <c r="R21" s="11">
        <f t="shared" si="1"/>
        <v>0</v>
      </c>
      <c r="S21" s="107"/>
      <c r="T21" s="5"/>
      <c r="U21" s="32">
        <f>+U19-U20</f>
        <v>97.168141592920392</v>
      </c>
      <c r="V21" s="47"/>
      <c r="W21" s="33"/>
      <c r="X21" s="262" t="s">
        <v>59</v>
      </c>
      <c r="Z21" s="282">
        <f t="shared" si="2"/>
        <v>43678</v>
      </c>
      <c r="AA21" s="318"/>
      <c r="AB21" s="281"/>
      <c r="AC21" s="33" t="s">
        <v>154</v>
      </c>
    </row>
    <row r="22" spans="1:29">
      <c r="A22" s="215"/>
      <c r="H22" s="142"/>
      <c r="I22" s="25" t="s">
        <v>236</v>
      </c>
      <c r="J22" s="96" t="s">
        <v>235</v>
      </c>
      <c r="K22" s="401"/>
      <c r="L22" s="402">
        <v>0</v>
      </c>
      <c r="M22" s="164">
        <v>15</v>
      </c>
      <c r="N22" s="163">
        <v>0</v>
      </c>
      <c r="O22" s="28"/>
      <c r="P22" s="11">
        <f t="shared" si="0"/>
        <v>0</v>
      </c>
      <c r="Q22" s="218"/>
      <c r="R22" s="11">
        <f t="shared" si="1"/>
        <v>0</v>
      </c>
      <c r="S22" s="241"/>
      <c r="T22" s="5"/>
      <c r="U22" s="34">
        <v>150</v>
      </c>
      <c r="V22" s="38">
        <f>+U22-U21</f>
        <v>52.831858407079608</v>
      </c>
      <c r="W22" s="39" t="s">
        <v>63</v>
      </c>
      <c r="X22" s="263">
        <f>150-V22</f>
        <v>97.168141592920392</v>
      </c>
      <c r="Z22" s="282">
        <f t="shared" si="2"/>
        <v>43679</v>
      </c>
      <c r="AA22" s="318"/>
      <c r="AB22" s="281"/>
      <c r="AC22" s="175" t="s">
        <v>155</v>
      </c>
    </row>
    <row r="23" spans="1:29">
      <c r="H23" s="142"/>
      <c r="I23" s="390" t="s">
        <v>328</v>
      </c>
      <c r="J23" s="270" t="s">
        <v>329</v>
      </c>
      <c r="K23" s="398"/>
      <c r="L23" s="397">
        <v>0</v>
      </c>
      <c r="M23" s="164"/>
      <c r="N23" s="163">
        <v>0</v>
      </c>
      <c r="O23" s="271">
        <v>32</v>
      </c>
      <c r="P23" s="272">
        <f t="shared" si="0"/>
        <v>150</v>
      </c>
      <c r="Q23" s="218"/>
      <c r="R23" s="272">
        <f t="shared" si="1"/>
        <v>150</v>
      </c>
      <c r="S23" s="274"/>
      <c r="T23" s="5"/>
      <c r="U23" s="10"/>
      <c r="X23" s="37"/>
      <c r="Z23" s="282">
        <f t="shared" si="2"/>
        <v>43680</v>
      </c>
      <c r="AA23" s="318"/>
      <c r="AB23" s="281"/>
      <c r="AC23" s="61"/>
    </row>
    <row r="24" spans="1:29">
      <c r="A24" s="237"/>
      <c r="B24" s="237"/>
      <c r="C24" s="237"/>
      <c r="D24" s="238"/>
      <c r="E24" s="237"/>
      <c r="F24" s="239"/>
      <c r="G24" s="237"/>
      <c r="H24" s="142"/>
      <c r="I24" s="25" t="s">
        <v>51</v>
      </c>
      <c r="J24" s="96" t="s">
        <v>134</v>
      </c>
      <c r="K24" s="401"/>
      <c r="L24" s="402">
        <f>+K24*3</f>
        <v>0</v>
      </c>
      <c r="M24" s="164"/>
      <c r="N24" s="163">
        <f>+M24*3</f>
        <v>0</v>
      </c>
      <c r="O24" s="28">
        <v>26</v>
      </c>
      <c r="P24" s="11">
        <f t="shared" si="0"/>
        <v>150</v>
      </c>
      <c r="Q24" s="218"/>
      <c r="R24" s="240">
        <f t="shared" si="1"/>
        <v>150</v>
      </c>
      <c r="S24" s="107"/>
      <c r="T24" s="5"/>
      <c r="Z24" s="282">
        <f t="shared" si="2"/>
        <v>43681</v>
      </c>
      <c r="AA24" s="318"/>
      <c r="AB24" s="281"/>
      <c r="AC24" s="61"/>
    </row>
    <row r="25" spans="1:29">
      <c r="A25" s="215"/>
      <c r="H25" s="142"/>
      <c r="I25" s="25" t="s">
        <v>61</v>
      </c>
      <c r="J25" s="96" t="s">
        <v>137</v>
      </c>
      <c r="K25" s="398"/>
      <c r="L25" s="397">
        <f>5*K25</f>
        <v>0</v>
      </c>
      <c r="M25" s="164">
        <v>20</v>
      </c>
      <c r="N25" s="163">
        <f>3*M25</f>
        <v>60</v>
      </c>
      <c r="O25" s="28"/>
      <c r="P25" s="11">
        <f t="shared" si="0"/>
        <v>0</v>
      </c>
      <c r="Q25" s="218"/>
      <c r="R25" s="361">
        <f t="shared" si="1"/>
        <v>60</v>
      </c>
      <c r="S25" s="241"/>
      <c r="T25" s="5"/>
      <c r="U25" s="332" t="s">
        <v>382</v>
      </c>
      <c r="Z25" s="282">
        <f t="shared" si="2"/>
        <v>43682</v>
      </c>
      <c r="AA25" s="318"/>
      <c r="AB25" s="281"/>
      <c r="AC25" s="65"/>
    </row>
    <row r="26" spans="1:29">
      <c r="A26" s="215"/>
      <c r="H26" s="95"/>
      <c r="I26" s="25" t="s">
        <v>14</v>
      </c>
      <c r="J26" s="81" t="s">
        <v>125</v>
      </c>
      <c r="K26" s="398"/>
      <c r="L26" s="397">
        <v>0</v>
      </c>
      <c r="M26" s="164">
        <v>15</v>
      </c>
      <c r="N26" s="163">
        <v>0</v>
      </c>
      <c r="O26" s="28"/>
      <c r="P26" s="75">
        <f t="shared" si="0"/>
        <v>0</v>
      </c>
      <c r="Q26" s="218"/>
      <c r="R26" s="11">
        <f t="shared" si="1"/>
        <v>0</v>
      </c>
      <c r="S26" s="107"/>
      <c r="T26" s="5"/>
      <c r="Z26" s="282">
        <f t="shared" si="2"/>
        <v>43683</v>
      </c>
      <c r="AA26" s="319"/>
      <c r="AB26" s="281"/>
      <c r="AC26" s="66"/>
    </row>
    <row r="27" spans="1:29">
      <c r="A27" s="215"/>
      <c r="H27" s="95"/>
      <c r="I27" s="25" t="s">
        <v>79</v>
      </c>
      <c r="J27" s="81" t="s">
        <v>110</v>
      </c>
      <c r="K27" s="398"/>
      <c r="L27" s="397">
        <v>0</v>
      </c>
      <c r="M27" s="164"/>
      <c r="N27" s="163">
        <f>3*M27</f>
        <v>0</v>
      </c>
      <c r="O27" s="28">
        <v>24</v>
      </c>
      <c r="P27" s="75">
        <f t="shared" si="0"/>
        <v>144</v>
      </c>
      <c r="Q27" s="218"/>
      <c r="R27" s="11">
        <f t="shared" si="1"/>
        <v>144</v>
      </c>
      <c r="S27" s="107"/>
      <c r="T27" s="5"/>
      <c r="U27" s="287" t="s">
        <v>347</v>
      </c>
      <c r="Z27" s="314" t="s">
        <v>150</v>
      </c>
      <c r="AA27" s="315">
        <f>SUM(AA16:AA26)</f>
        <v>4</v>
      </c>
      <c r="AB27" s="316" t="s">
        <v>148</v>
      </c>
      <c r="AC27" s="68"/>
    </row>
    <row r="28" spans="1:29">
      <c r="H28" s="83"/>
      <c r="I28" s="390" t="s">
        <v>214</v>
      </c>
      <c r="J28" s="270" t="s">
        <v>215</v>
      </c>
      <c r="K28" s="398"/>
      <c r="L28" s="397">
        <v>0</v>
      </c>
      <c r="M28" s="164"/>
      <c r="N28" s="163">
        <f>3*M28</f>
        <v>0</v>
      </c>
      <c r="O28" s="271"/>
      <c r="P28" s="272">
        <f t="shared" si="0"/>
        <v>0</v>
      </c>
      <c r="Q28" s="218"/>
      <c r="R28" s="272">
        <f t="shared" si="1"/>
        <v>0</v>
      </c>
      <c r="S28" s="274"/>
      <c r="T28" s="5"/>
      <c r="Z28" s="184"/>
      <c r="AA28" s="171">
        <f>SUM(AB16:AB26)</f>
        <v>15</v>
      </c>
      <c r="AB28" s="185" t="s">
        <v>149</v>
      </c>
      <c r="AC28" s="69"/>
    </row>
    <row r="29" spans="1:29" ht="16.5">
      <c r="A29" s="237"/>
      <c r="B29" s="237"/>
      <c r="C29" s="237"/>
      <c r="D29" s="238"/>
      <c r="E29" s="237"/>
      <c r="F29" s="239"/>
      <c r="G29" s="237"/>
      <c r="H29" s="142"/>
      <c r="I29" s="25" t="s">
        <v>45</v>
      </c>
      <c r="J29" s="96" t="s">
        <v>133</v>
      </c>
      <c r="K29" s="401"/>
      <c r="L29" s="402">
        <f>+K29*3</f>
        <v>0</v>
      </c>
      <c r="M29" s="164"/>
      <c r="N29" s="163">
        <f>+M29*3</f>
        <v>0</v>
      </c>
      <c r="O29" s="28">
        <v>26</v>
      </c>
      <c r="P29" s="11">
        <f>IF(O29&gt;25,150,(O29)*6)</f>
        <v>150</v>
      </c>
      <c r="Q29" s="218"/>
      <c r="R29" s="240">
        <f t="shared" si="1"/>
        <v>150</v>
      </c>
      <c r="S29" s="107"/>
      <c r="T29" s="5"/>
      <c r="Z29" s="186" t="s">
        <v>160</v>
      </c>
      <c r="AA29" s="284">
        <f>+AA28/AA27</f>
        <v>3.75</v>
      </c>
      <c r="AB29" s="173" t="s">
        <v>150</v>
      </c>
      <c r="AC29" s="65"/>
    </row>
    <row r="30" spans="1:29">
      <c r="A30" s="215"/>
      <c r="H30" s="142"/>
      <c r="I30" s="25" t="s">
        <v>13</v>
      </c>
      <c r="J30" s="81" t="s">
        <v>319</v>
      </c>
      <c r="K30" s="398"/>
      <c r="L30" s="397">
        <f>3*K30</f>
        <v>0</v>
      </c>
      <c r="M30" s="164">
        <v>14</v>
      </c>
      <c r="N30" s="163">
        <v>0</v>
      </c>
      <c r="O30" s="28"/>
      <c r="P30" s="75">
        <f t="shared" si="0"/>
        <v>0</v>
      </c>
      <c r="Q30" s="218"/>
      <c r="R30" s="240">
        <f t="shared" si="1"/>
        <v>0</v>
      </c>
      <c r="S30" s="107"/>
      <c r="T30" s="5"/>
    </row>
    <row r="31" spans="1:29">
      <c r="A31" s="215"/>
      <c r="H31" s="95"/>
      <c r="I31" s="25" t="s">
        <v>31</v>
      </c>
      <c r="J31" s="81" t="s">
        <v>127</v>
      </c>
      <c r="K31" s="398"/>
      <c r="L31" s="397">
        <v>0</v>
      </c>
      <c r="M31" s="164"/>
      <c r="N31" s="163">
        <v>0</v>
      </c>
      <c r="O31" s="28">
        <v>27</v>
      </c>
      <c r="P31" s="75">
        <f t="shared" si="0"/>
        <v>150</v>
      </c>
      <c r="Q31" s="218"/>
      <c r="R31" s="11">
        <f t="shared" si="1"/>
        <v>150</v>
      </c>
      <c r="S31" s="107"/>
      <c r="T31" s="5"/>
    </row>
    <row r="32" spans="1:29">
      <c r="A32" s="215"/>
      <c r="H32" s="95"/>
      <c r="I32" s="25" t="s">
        <v>30</v>
      </c>
      <c r="J32" s="81" t="s">
        <v>126</v>
      </c>
      <c r="K32" s="398"/>
      <c r="L32" s="397">
        <f>+K32*3</f>
        <v>0</v>
      </c>
      <c r="M32" s="164"/>
      <c r="N32" s="163">
        <f>+M32*3</f>
        <v>0</v>
      </c>
      <c r="O32" s="28">
        <v>27</v>
      </c>
      <c r="P32" s="75">
        <f t="shared" si="0"/>
        <v>150</v>
      </c>
      <c r="Q32" s="218"/>
      <c r="R32" s="320">
        <f t="shared" si="1"/>
        <v>150</v>
      </c>
      <c r="S32" s="107"/>
      <c r="T32" s="5"/>
    </row>
    <row r="33" spans="1:32" s="4" customFormat="1">
      <c r="A33" s="215"/>
      <c r="B33"/>
      <c r="C33"/>
      <c r="D33" s="1"/>
      <c r="E33"/>
      <c r="F33" s="2"/>
      <c r="G33"/>
      <c r="H33" s="83"/>
      <c r="I33" s="390" t="s">
        <v>186</v>
      </c>
      <c r="J33" s="270" t="s">
        <v>187</v>
      </c>
      <c r="K33" s="420"/>
      <c r="L33" s="421">
        <v>0</v>
      </c>
      <c r="M33" s="422">
        <v>18</v>
      </c>
      <c r="N33" s="423">
        <v>0</v>
      </c>
      <c r="O33" s="424">
        <v>24</v>
      </c>
      <c r="P33" s="425">
        <f t="shared" si="0"/>
        <v>144</v>
      </c>
      <c r="Q33" s="426"/>
      <c r="R33" s="425">
        <f t="shared" si="1"/>
        <v>144</v>
      </c>
      <c r="S33" s="274"/>
      <c r="T33" s="427"/>
      <c r="U33"/>
      <c r="V33" s="46"/>
      <c r="W33"/>
      <c r="X33"/>
      <c r="Y33"/>
      <c r="Z33"/>
      <c r="AA33"/>
      <c r="AB33"/>
      <c r="AC33"/>
      <c r="AD33"/>
      <c r="AE33"/>
      <c r="AF33"/>
    </row>
    <row r="34" spans="1:32">
      <c r="A34" s="215"/>
      <c r="H34" s="83"/>
      <c r="I34" s="25" t="s">
        <v>17</v>
      </c>
      <c r="J34" s="81" t="s">
        <v>123</v>
      </c>
      <c r="K34" s="398"/>
      <c r="L34" s="397">
        <v>0</v>
      </c>
      <c r="M34" s="164">
        <v>13</v>
      </c>
      <c r="N34" s="163">
        <v>0</v>
      </c>
      <c r="O34" s="74"/>
      <c r="P34" s="75">
        <f>IF(O34&gt;25,150,(O34)*6)</f>
        <v>0</v>
      </c>
      <c r="Q34" s="218"/>
      <c r="R34" s="11">
        <f t="shared" si="1"/>
        <v>0</v>
      </c>
      <c r="S34" s="107"/>
      <c r="T34" s="5"/>
    </row>
    <row r="35" spans="1:32">
      <c r="A35" s="215"/>
      <c r="H35" s="83"/>
      <c r="I35" s="25" t="s">
        <v>60</v>
      </c>
      <c r="J35" s="81" t="s">
        <v>132</v>
      </c>
      <c r="K35" s="398"/>
      <c r="L35" s="397">
        <v>0</v>
      </c>
      <c r="M35" s="164"/>
      <c r="N35" s="163">
        <v>0</v>
      </c>
      <c r="O35" s="74"/>
      <c r="P35" s="75">
        <f>IF(O35&gt;25,150,(O35)*6)</f>
        <v>0</v>
      </c>
      <c r="Q35" s="218"/>
      <c r="R35" s="11">
        <f>+L35+N35+P35+Q35</f>
        <v>0</v>
      </c>
      <c r="S35" s="107"/>
      <c r="T35" s="5"/>
    </row>
    <row r="36" spans="1:32">
      <c r="H36" s="142"/>
      <c r="I36" s="25" t="s">
        <v>233</v>
      </c>
      <c r="J36" s="81" t="s">
        <v>234</v>
      </c>
      <c r="K36" s="398"/>
      <c r="L36" s="397">
        <f>3*K36</f>
        <v>0</v>
      </c>
      <c r="M36" s="164"/>
      <c r="N36" s="163">
        <f>3*M36</f>
        <v>0</v>
      </c>
      <c r="O36" s="28"/>
      <c r="P36" s="75">
        <f t="shared" si="0"/>
        <v>0</v>
      </c>
      <c r="Q36" s="218"/>
      <c r="R36" s="11">
        <f>+L36+N36+P36+Q36</f>
        <v>0</v>
      </c>
      <c r="S36" s="107"/>
      <c r="T36" s="5"/>
    </row>
    <row r="37" spans="1:32">
      <c r="H37" s="142"/>
      <c r="I37" s="25" t="s">
        <v>469</v>
      </c>
      <c r="J37" s="428" t="s">
        <v>470</v>
      </c>
      <c r="K37" s="398"/>
      <c r="L37" s="397">
        <v>0</v>
      </c>
      <c r="M37" s="164"/>
      <c r="N37" s="163">
        <v>0</v>
      </c>
      <c r="O37" s="74"/>
      <c r="P37" s="75">
        <f t="shared" si="0"/>
        <v>0</v>
      </c>
      <c r="Q37" s="218"/>
      <c r="R37" s="9">
        <f t="shared" si="1"/>
        <v>0</v>
      </c>
      <c r="S37" s="107"/>
      <c r="T37" s="5"/>
    </row>
    <row r="38" spans="1:32">
      <c r="A38" s="215"/>
      <c r="H38" s="95"/>
      <c r="I38" s="25" t="s">
        <v>8</v>
      </c>
      <c r="J38" s="81" t="s">
        <v>120</v>
      </c>
      <c r="K38" s="398"/>
      <c r="L38" s="397">
        <v>0</v>
      </c>
      <c r="M38" s="164"/>
      <c r="N38" s="163">
        <v>0</v>
      </c>
      <c r="O38" s="28">
        <v>25</v>
      </c>
      <c r="P38" s="75">
        <f t="shared" si="0"/>
        <v>150</v>
      </c>
      <c r="Q38" s="218"/>
      <c r="R38" s="11">
        <f t="shared" si="1"/>
        <v>150</v>
      </c>
      <c r="S38" s="107"/>
      <c r="T38" s="5"/>
      <c r="AF38" s="4"/>
    </row>
    <row r="39" spans="1:32">
      <c r="A39" s="215"/>
      <c r="H39" s="95"/>
      <c r="I39" s="25" t="s">
        <v>11</v>
      </c>
      <c r="J39" s="81" t="s">
        <v>130</v>
      </c>
      <c r="K39" s="398"/>
      <c r="L39" s="397">
        <f>+K39*3</f>
        <v>0</v>
      </c>
      <c r="M39" s="164">
        <v>15</v>
      </c>
      <c r="N39" s="163">
        <v>0</v>
      </c>
      <c r="O39" s="28"/>
      <c r="P39" s="75">
        <f t="shared" si="0"/>
        <v>0</v>
      </c>
      <c r="Q39" s="218"/>
      <c r="R39" s="11">
        <f t="shared" si="1"/>
        <v>0</v>
      </c>
      <c r="S39" s="107"/>
      <c r="T39" s="5"/>
    </row>
    <row r="40" spans="1:32">
      <c r="H40" s="83"/>
      <c r="I40" s="25" t="s">
        <v>6</v>
      </c>
      <c r="J40" s="96" t="s">
        <v>116</v>
      </c>
      <c r="K40" s="398"/>
      <c r="L40" s="397">
        <f>+K40*3</f>
        <v>0</v>
      </c>
      <c r="M40" s="164"/>
      <c r="N40" s="163">
        <f>+M40*3</f>
        <v>0</v>
      </c>
      <c r="O40" s="74"/>
      <c r="P40" s="75">
        <f t="shared" si="0"/>
        <v>0</v>
      </c>
      <c r="Q40" s="218"/>
      <c r="R40" s="11">
        <f t="shared" si="1"/>
        <v>0</v>
      </c>
      <c r="S40" s="107"/>
      <c r="T40" s="5"/>
    </row>
    <row r="41" spans="1:32">
      <c r="H41" s="95"/>
      <c r="I41" s="25" t="s">
        <v>53</v>
      </c>
      <c r="J41" s="81" t="s">
        <v>135</v>
      </c>
      <c r="K41" s="398"/>
      <c r="L41" s="397">
        <v>0</v>
      </c>
      <c r="M41" s="164"/>
      <c r="N41" s="163">
        <v>0</v>
      </c>
      <c r="O41" s="28">
        <v>22</v>
      </c>
      <c r="P41" s="75">
        <f t="shared" si="0"/>
        <v>132</v>
      </c>
      <c r="Q41" s="218"/>
      <c r="R41" s="11">
        <f t="shared" si="1"/>
        <v>132</v>
      </c>
      <c r="S41" s="107"/>
      <c r="T41" s="5"/>
    </row>
    <row r="42" spans="1:32">
      <c r="H42" s="81"/>
      <c r="I42" s="120" t="s">
        <v>12</v>
      </c>
      <c r="J42" s="121" t="s">
        <v>114</v>
      </c>
      <c r="K42" s="403"/>
      <c r="L42" s="404">
        <v>0</v>
      </c>
      <c r="M42" s="165">
        <v>17</v>
      </c>
      <c r="N42" s="166">
        <v>0</v>
      </c>
      <c r="O42" s="122"/>
      <c r="P42" s="15">
        <f t="shared" si="0"/>
        <v>0</v>
      </c>
      <c r="Q42" s="222"/>
      <c r="R42" s="362">
        <f t="shared" si="1"/>
        <v>0</v>
      </c>
      <c r="S42" s="389"/>
      <c r="T42" s="5"/>
    </row>
    <row r="43" spans="1:32">
      <c r="I43" s="13"/>
      <c r="J43" s="14"/>
      <c r="K43" s="405">
        <f t="shared" ref="K43:S43" si="3">SUM(K4:K42)</f>
        <v>0</v>
      </c>
      <c r="L43" s="408">
        <f t="shared" si="3"/>
        <v>0</v>
      </c>
      <c r="M43" s="167">
        <f t="shared" si="3"/>
        <v>158</v>
      </c>
      <c r="N43" s="407">
        <f t="shared" si="3"/>
        <v>60</v>
      </c>
      <c r="O43" s="77">
        <f t="shared" si="3"/>
        <v>532</v>
      </c>
      <c r="P43" s="409">
        <f t="shared" si="3"/>
        <v>2898</v>
      </c>
      <c r="Q43" s="323">
        <f t="shared" si="3"/>
        <v>0</v>
      </c>
      <c r="R43" s="78">
        <f t="shared" si="3"/>
        <v>2958</v>
      </c>
      <c r="S43" s="102">
        <f t="shared" si="3"/>
        <v>0</v>
      </c>
      <c r="T43" s="5"/>
    </row>
    <row r="44" spans="1:32">
      <c r="J44" s="200">
        <f ca="1">TODAY()</f>
        <v>43825</v>
      </c>
      <c r="K44" s="41"/>
      <c r="M44" s="42"/>
      <c r="N44" s="41"/>
      <c r="O44" s="45" t="s">
        <v>81</v>
      </c>
      <c r="Q44" s="42"/>
      <c r="R44" s="45">
        <f>+R9+R14</f>
        <v>0</v>
      </c>
      <c r="T44" s="5"/>
    </row>
    <row r="45" spans="1:32">
      <c r="L45" s="43"/>
      <c r="M45" s="44"/>
      <c r="N45" s="125"/>
      <c r="O45" s="43" t="s">
        <v>91</v>
      </c>
      <c r="P45" s="114">
        <v>2622</v>
      </c>
      <c r="Q45" s="110" t="s">
        <v>58</v>
      </c>
      <c r="R45" s="111">
        <f>+R43-R44</f>
        <v>2958</v>
      </c>
      <c r="S45" s="109"/>
      <c r="T45" s="5"/>
    </row>
    <row r="46" spans="1:32">
      <c r="P46" s="19"/>
      <c r="T46" s="5"/>
      <c r="AC46">
        <v>4</v>
      </c>
    </row>
    <row r="47" spans="1:32" ht="15" customHeight="1">
      <c r="I47" s="330" t="s">
        <v>86</v>
      </c>
      <c r="P47" s="1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I48" s="331" t="s">
        <v>87</v>
      </c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30" t="s">
        <v>530</v>
      </c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30" t="s">
        <v>531</v>
      </c>
      <c r="T50" s="5"/>
    </row>
    <row r="51" spans="9:29">
      <c r="U51" s="64"/>
      <c r="V51" s="59"/>
      <c r="W51" s="60"/>
      <c r="X51" s="60"/>
    </row>
    <row r="52" spans="9:29">
      <c r="U52" s="58"/>
      <c r="V52" s="66"/>
      <c r="W52" s="67"/>
      <c r="X52" s="60"/>
    </row>
    <row r="53" spans="9:29">
      <c r="U53" s="60"/>
      <c r="V53" s="59"/>
      <c r="W53" s="60"/>
    </row>
    <row r="54" spans="9:29">
      <c r="U54" s="60"/>
      <c r="V54" s="59"/>
      <c r="W54" s="60"/>
    </row>
    <row r="55" spans="9:29">
      <c r="U55" s="60"/>
      <c r="V55" s="59"/>
      <c r="W55" s="60"/>
    </row>
    <row r="56" spans="9:29">
      <c r="U56" s="60"/>
      <c r="V56" s="59"/>
      <c r="W56" s="60"/>
    </row>
    <row r="57" spans="9:29">
      <c r="U57" s="60"/>
      <c r="V57" s="59"/>
      <c r="W57" s="60"/>
    </row>
    <row r="58" spans="9:29">
      <c r="U58" s="60"/>
      <c r="V58" s="59"/>
      <c r="W58" s="60"/>
    </row>
  </sheetData>
  <mergeCells count="3">
    <mergeCell ref="I2:R2"/>
    <mergeCell ref="T2:V2"/>
    <mergeCell ref="AC14:AC15"/>
  </mergeCells>
  <conditionalFormatting sqref="R4">
    <cfRule type="cellIs" dxfId="122" priority="2" operator="lessThanOrEqual">
      <formula>0</formula>
    </cfRule>
  </conditionalFormatting>
  <conditionalFormatting sqref="R4:R42">
    <cfRule type="cellIs" dxfId="121" priority="1" operator="greaterThan">
      <formula>0</formula>
    </cfRule>
  </conditionalFormatting>
  <printOptions horizontalCentered="1"/>
  <pageMargins left="0" right="0.17" top="1.34" bottom="0" header="0" footer="0"/>
  <pageSetup paperSize="9" scale="98" orientation="portrait" r:id="rId1"/>
  <ignoredErrors>
    <ignoredError sqref="L17:N17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67"/>
  <sheetViews>
    <sheetView zoomScale="85" zoomScaleNormal="85" workbookViewId="0">
      <pane xSplit="10" ySplit="4" topLeftCell="K45" activePane="bottomRight" state="frozen"/>
      <selection pane="topRight" activeCell="K1" sqref="K1"/>
      <selection pane="bottomLeft" activeCell="A5" sqref="A5"/>
      <selection pane="bottomRight" activeCell="K45" sqref="K4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.7109375" customWidth="1"/>
    <col min="9" max="9" width="7.42578125" customWidth="1"/>
    <col min="10" max="10" width="25.7109375" customWidth="1"/>
    <col min="11" max="11" width="1.7109375" customWidth="1"/>
    <col min="12" max="12" width="1.5703125" customWidth="1"/>
    <col min="13" max="13" width="5.7109375" customWidth="1"/>
    <col min="14" max="14" width="9.7109375" customWidth="1"/>
    <col min="15" max="15" width="6.85546875" customWidth="1"/>
    <col min="16" max="16" width="12.140625" customWidth="1"/>
    <col min="17" max="17" width="7.7109375" customWidth="1"/>
    <col min="18" max="18" width="15.7109375" customWidth="1"/>
    <col min="19" max="19" width="3.7109375" style="103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 ht="14.1" customHeight="1">
      <c r="H2" s="83"/>
      <c r="I2" s="429" t="s">
        <v>438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364" t="s">
        <v>15</v>
      </c>
      <c r="N4" s="364" t="s">
        <v>426</v>
      </c>
      <c r="O4" s="87" t="s">
        <v>15</v>
      </c>
      <c r="P4" s="87" t="s">
        <v>439</v>
      </c>
      <c r="Q4" s="99" t="s">
        <v>440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365"/>
      <c r="N5" s="366">
        <v>0</v>
      </c>
      <c r="O5" s="76"/>
      <c r="P5" s="75">
        <f t="shared" ref="P5:P44" si="0">IF(O5&gt;25,150,(O5)*6)</f>
        <v>0</v>
      </c>
      <c r="Q5" s="217"/>
      <c r="R5" s="11">
        <f t="shared" ref="R5:R44" si="1">+L5+N5+P5+Q5</f>
        <v>0</v>
      </c>
      <c r="S5" s="106"/>
      <c r="T5" s="5"/>
      <c r="U5" s="258">
        <v>815.2</v>
      </c>
      <c r="V5" s="259">
        <v>94</v>
      </c>
      <c r="W5" s="260">
        <v>721.2</v>
      </c>
      <c r="X5" s="333" t="s">
        <v>215</v>
      </c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365"/>
      <c r="N6" s="366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26">
        <f>+V6+W6</f>
        <v>813.84359400998335</v>
      </c>
      <c r="V6" s="256">
        <f>+V5*W6/W5</f>
        <v>93.843594009983349</v>
      </c>
      <c r="W6" s="261">
        <v>720</v>
      </c>
      <c r="X6" s="334" t="s">
        <v>381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367"/>
      <c r="N7" s="366">
        <v>0</v>
      </c>
      <c r="O7" s="74">
        <v>4</v>
      </c>
      <c r="P7" s="75">
        <f t="shared" si="0"/>
        <v>24</v>
      </c>
      <c r="Q7" s="218"/>
      <c r="R7" s="9">
        <f t="shared" si="1"/>
        <v>24</v>
      </c>
      <c r="S7" s="106"/>
      <c r="T7" s="5"/>
      <c r="U7" s="32">
        <f>+U5-U6+0.01</f>
        <v>1.3664059900166967</v>
      </c>
      <c r="V7" s="47"/>
      <c r="W7" s="33"/>
      <c r="X7" s="262" t="s">
        <v>59</v>
      </c>
    </row>
    <row r="8" spans="8:29">
      <c r="H8" s="251" t="s">
        <v>50</v>
      </c>
      <c r="I8" s="275" t="s">
        <v>387</v>
      </c>
      <c r="J8" s="276" t="s">
        <v>388</v>
      </c>
      <c r="K8" s="277"/>
      <c r="L8" s="278">
        <v>0</v>
      </c>
      <c r="M8" s="368"/>
      <c r="N8" s="369">
        <v>0</v>
      </c>
      <c r="O8" s="277">
        <v>21</v>
      </c>
      <c r="P8" s="278">
        <f t="shared" si="0"/>
        <v>126</v>
      </c>
      <c r="Q8" s="374">
        <f>8*8</f>
        <v>64</v>
      </c>
      <c r="R8" s="278">
        <f t="shared" si="1"/>
        <v>190</v>
      </c>
      <c r="S8" s="280"/>
      <c r="T8" s="5"/>
      <c r="U8" s="34">
        <v>150</v>
      </c>
      <c r="V8" s="335">
        <f>+U8-U7</f>
        <v>148.63359400998331</v>
      </c>
      <c r="W8" s="39" t="s">
        <v>63</v>
      </c>
      <c r="X8" s="263">
        <f>150-V8</f>
        <v>1.3664059900166876</v>
      </c>
    </row>
    <row r="9" spans="8:29">
      <c r="H9" s="83"/>
      <c r="I9" s="25" t="s">
        <v>2</v>
      </c>
      <c r="J9" s="81" t="s">
        <v>107</v>
      </c>
      <c r="K9" s="228"/>
      <c r="L9" s="227">
        <f>+K9*3</f>
        <v>0</v>
      </c>
      <c r="M9" s="367"/>
      <c r="N9" s="366">
        <f>+M9*3</f>
        <v>0</v>
      </c>
      <c r="O9" s="74"/>
      <c r="P9" s="75">
        <f t="shared" si="0"/>
        <v>0</v>
      </c>
      <c r="Q9" s="218"/>
      <c r="R9" s="9">
        <f t="shared" si="1"/>
        <v>0</v>
      </c>
      <c r="S9" s="138"/>
      <c r="T9" s="5"/>
      <c r="X9" s="37"/>
    </row>
    <row r="10" spans="8:29" ht="15" customHeight="1">
      <c r="H10" s="242" t="s">
        <v>232</v>
      </c>
      <c r="I10" s="188" t="s">
        <v>42</v>
      </c>
      <c r="J10" s="242" t="s">
        <v>119</v>
      </c>
      <c r="K10" s="192"/>
      <c r="L10" s="193">
        <f>+K10*3</f>
        <v>0</v>
      </c>
      <c r="M10" s="368"/>
      <c r="N10" s="369">
        <f>+M10*3</f>
        <v>0</v>
      </c>
      <c r="O10" s="192">
        <v>22</v>
      </c>
      <c r="P10" s="193">
        <f t="shared" si="0"/>
        <v>132</v>
      </c>
      <c r="Q10" s="221"/>
      <c r="R10" s="193">
        <f t="shared" si="1"/>
        <v>132</v>
      </c>
      <c r="S10" s="197"/>
      <c r="T10" s="5"/>
      <c r="U10" s="258">
        <v>988</v>
      </c>
      <c r="V10" s="259">
        <v>118.76</v>
      </c>
      <c r="W10" s="260">
        <v>869.24</v>
      </c>
      <c r="X10" s="333" t="s">
        <v>349</v>
      </c>
      <c r="Y10" s="266"/>
    </row>
    <row r="11" spans="8:29">
      <c r="H11" s="251" t="s">
        <v>50</v>
      </c>
      <c r="I11" s="275" t="s">
        <v>1</v>
      </c>
      <c r="J11" s="276" t="s">
        <v>106</v>
      </c>
      <c r="K11" s="277"/>
      <c r="L11" s="278">
        <f>3*K11</f>
        <v>0</v>
      </c>
      <c r="M11" s="368"/>
      <c r="N11" s="369">
        <f>3*M11</f>
        <v>0</v>
      </c>
      <c r="O11" s="277"/>
      <c r="P11" s="278">
        <f t="shared" si="0"/>
        <v>0</v>
      </c>
      <c r="Q11" s="279"/>
      <c r="R11" s="278">
        <f t="shared" si="1"/>
        <v>0</v>
      </c>
      <c r="S11" s="280"/>
      <c r="T11" s="5"/>
      <c r="U11" s="326">
        <f>+V11+W11</f>
        <v>935.44245547834896</v>
      </c>
      <c r="V11" s="256">
        <f>+V10*W11/W10</f>
        <v>112.44245547834892</v>
      </c>
      <c r="W11" s="261">
        <v>823</v>
      </c>
      <c r="X11" s="334" t="s">
        <v>348</v>
      </c>
    </row>
    <row r="12" spans="8:29">
      <c r="H12" s="95"/>
      <c r="I12" s="25" t="s">
        <v>56</v>
      </c>
      <c r="J12" s="81" t="s">
        <v>136</v>
      </c>
      <c r="K12" s="228"/>
      <c r="L12" s="227">
        <v>0</v>
      </c>
      <c r="M12" s="367"/>
      <c r="N12" s="366">
        <f>3*M12</f>
        <v>0</v>
      </c>
      <c r="O12" s="28">
        <v>32</v>
      </c>
      <c r="P12" s="75">
        <f t="shared" si="0"/>
        <v>150</v>
      </c>
      <c r="Q12" s="374">
        <f>8*11</f>
        <v>88</v>
      </c>
      <c r="R12" s="11">
        <f t="shared" si="1"/>
        <v>238</v>
      </c>
      <c r="S12" s="107"/>
      <c r="T12" s="5"/>
      <c r="U12" s="32">
        <f>+U10-U11</f>
        <v>52.557544521651039</v>
      </c>
      <c r="V12" s="47"/>
      <c r="W12" s="33"/>
      <c r="X12" s="262" t="s">
        <v>59</v>
      </c>
    </row>
    <row r="13" spans="8:29">
      <c r="H13" s="242" t="s">
        <v>232</v>
      </c>
      <c r="I13" s="188" t="s">
        <v>16</v>
      </c>
      <c r="J13" s="242" t="s">
        <v>113</v>
      </c>
      <c r="K13" s="192"/>
      <c r="L13" s="193">
        <v>0</v>
      </c>
      <c r="M13" s="368"/>
      <c r="N13" s="369">
        <v>0</v>
      </c>
      <c r="O13" s="192">
        <v>26</v>
      </c>
      <c r="P13" s="193">
        <f t="shared" si="0"/>
        <v>150</v>
      </c>
      <c r="Q13" s="221"/>
      <c r="R13" s="193">
        <f t="shared" si="1"/>
        <v>150</v>
      </c>
      <c r="S13" s="197"/>
      <c r="T13" s="5"/>
      <c r="U13" s="34">
        <v>150</v>
      </c>
      <c r="V13" s="38">
        <f>+U13-U12</f>
        <v>97.442455478348961</v>
      </c>
      <c r="W13" s="39" t="s">
        <v>63</v>
      </c>
      <c r="X13" s="263">
        <f>150-V13</f>
        <v>52.557544521651039</v>
      </c>
    </row>
    <row r="14" spans="8:29">
      <c r="H14" s="83"/>
      <c r="I14" s="25" t="s">
        <v>92</v>
      </c>
      <c r="J14" s="81" t="s">
        <v>109</v>
      </c>
      <c r="K14" s="228"/>
      <c r="L14" s="227">
        <v>0</v>
      </c>
      <c r="M14" s="367"/>
      <c r="N14" s="366">
        <v>0</v>
      </c>
      <c r="O14" s="74"/>
      <c r="P14" s="75">
        <f t="shared" si="0"/>
        <v>0</v>
      </c>
      <c r="Q14" s="217"/>
      <c r="R14" s="9">
        <f t="shared" si="1"/>
        <v>0</v>
      </c>
      <c r="S14" s="107"/>
      <c r="T14" s="5"/>
      <c r="U14" s="10"/>
      <c r="X14" s="37"/>
    </row>
    <row r="15" spans="8:29">
      <c r="H15" s="83"/>
      <c r="I15" s="25" t="s">
        <v>20</v>
      </c>
      <c r="J15" s="81" t="s">
        <v>195</v>
      </c>
      <c r="K15" s="228"/>
      <c r="L15" s="227">
        <f>+K15*3</f>
        <v>0</v>
      </c>
      <c r="M15" s="367"/>
      <c r="N15" s="366">
        <f>+M15*3</f>
        <v>0</v>
      </c>
      <c r="O15" s="74">
        <v>26</v>
      </c>
      <c r="P15" s="75">
        <f t="shared" si="0"/>
        <v>150</v>
      </c>
      <c r="Q15" s="217"/>
      <c r="R15" s="9">
        <f t="shared" si="1"/>
        <v>150</v>
      </c>
      <c r="S15" s="107"/>
      <c r="T15" s="5"/>
      <c r="U15" s="258">
        <v>880</v>
      </c>
      <c r="V15" s="259">
        <v>114.4</v>
      </c>
      <c r="W15" s="327">
        <v>765.6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251" t="s">
        <v>50</v>
      </c>
      <c r="I16" s="275" t="s">
        <v>272</v>
      </c>
      <c r="J16" s="276" t="s">
        <v>271</v>
      </c>
      <c r="K16" s="277"/>
      <c r="L16" s="278">
        <v>0</v>
      </c>
      <c r="M16" s="368"/>
      <c r="N16" s="369">
        <v>0</v>
      </c>
      <c r="O16" s="277"/>
      <c r="P16" s="278">
        <f t="shared" si="0"/>
        <v>0</v>
      </c>
      <c r="Q16" s="279"/>
      <c r="R16" s="278">
        <f t="shared" si="1"/>
        <v>0</v>
      </c>
      <c r="S16" s="280"/>
      <c r="T16" s="5"/>
      <c r="U16" s="326">
        <f>+V16+W16</f>
        <v>945.97701149425291</v>
      </c>
      <c r="V16" s="256">
        <f>+V15*W16/W15</f>
        <v>122.97701149425289</v>
      </c>
      <c r="W16" s="261">
        <v>823</v>
      </c>
      <c r="X16" s="36" t="s">
        <v>350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25</v>
      </c>
      <c r="J17" s="81" t="s">
        <v>118</v>
      </c>
      <c r="K17" s="228"/>
      <c r="L17" s="227">
        <f>+K17*3</f>
        <v>0</v>
      </c>
      <c r="M17" s="367"/>
      <c r="N17" s="366">
        <f>+M17*3</f>
        <v>0</v>
      </c>
      <c r="O17" s="28">
        <v>22</v>
      </c>
      <c r="P17" s="75">
        <f t="shared" si="0"/>
        <v>132</v>
      </c>
      <c r="Q17" s="218"/>
      <c r="R17" s="11">
        <f t="shared" si="1"/>
        <v>132</v>
      </c>
      <c r="S17" s="107"/>
      <c r="T17" s="5"/>
      <c r="U17" s="32">
        <f>+U15-U16</f>
        <v>-65.977011494252906</v>
      </c>
      <c r="V17" s="47"/>
      <c r="W17" s="33"/>
      <c r="X17" s="262" t="s">
        <v>59</v>
      </c>
      <c r="Z17" s="282">
        <v>43673</v>
      </c>
      <c r="AA17" s="317">
        <v>1</v>
      </c>
      <c r="AB17" s="281">
        <v>3</v>
      </c>
      <c r="AC17" s="174" t="s">
        <v>157</v>
      </c>
    </row>
    <row r="18" spans="1:29">
      <c r="H18" s="95"/>
      <c r="I18" s="25" t="s">
        <v>41</v>
      </c>
      <c r="J18" s="81" t="s">
        <v>112</v>
      </c>
      <c r="K18" s="228"/>
      <c r="L18" s="227">
        <f>+K18*3</f>
        <v>0</v>
      </c>
      <c r="M18" s="367"/>
      <c r="N18" s="366">
        <f>+M18*3</f>
        <v>0</v>
      </c>
      <c r="O18" s="28">
        <v>33</v>
      </c>
      <c r="P18" s="75">
        <f t="shared" si="0"/>
        <v>150</v>
      </c>
      <c r="Q18" s="218"/>
      <c r="R18" s="11">
        <f t="shared" si="1"/>
        <v>150</v>
      </c>
      <c r="S18" s="107"/>
      <c r="T18" s="5"/>
      <c r="U18" s="34">
        <v>150</v>
      </c>
      <c r="V18" s="38">
        <f>+U18-U17</f>
        <v>215.97701149425291</v>
      </c>
      <c r="W18" s="39" t="s">
        <v>63</v>
      </c>
      <c r="X18" s="263">
        <f>150-V18</f>
        <v>-65.977011494252906</v>
      </c>
      <c r="Z18" s="282">
        <f>1+Z17</f>
        <v>43674</v>
      </c>
      <c r="AA18" s="318">
        <v>1</v>
      </c>
      <c r="AB18" s="281">
        <v>5</v>
      </c>
      <c r="AC18" s="33" t="s">
        <v>156</v>
      </c>
    </row>
    <row r="19" spans="1:29">
      <c r="A19" s="215"/>
      <c r="H19" s="83"/>
      <c r="I19" s="126" t="s">
        <v>71</v>
      </c>
      <c r="J19" s="80" t="s">
        <v>139</v>
      </c>
      <c r="K19" s="226"/>
      <c r="L19" s="227">
        <f>5*K19</f>
        <v>0</v>
      </c>
      <c r="M19" s="365"/>
      <c r="N19" s="366">
        <f>5*M19</f>
        <v>0</v>
      </c>
      <c r="O19" s="76">
        <v>27</v>
      </c>
      <c r="P19" s="75">
        <f t="shared" si="0"/>
        <v>150</v>
      </c>
      <c r="Q19" s="217"/>
      <c r="R19" s="11">
        <f t="shared" si="1"/>
        <v>150</v>
      </c>
      <c r="S19" s="106"/>
      <c r="T19" s="5"/>
      <c r="U19" s="10"/>
      <c r="X19" s="37"/>
      <c r="Z19" s="282">
        <f t="shared" ref="Z19:Z27" si="2">1+Z18</f>
        <v>43675</v>
      </c>
      <c r="AA19" s="318">
        <v>1</v>
      </c>
      <c r="AB19" s="281">
        <v>5</v>
      </c>
      <c r="AC19" s="33" t="s">
        <v>151</v>
      </c>
    </row>
    <row r="20" spans="1:29">
      <c r="A20" s="215"/>
      <c r="H20" s="141"/>
      <c r="I20" s="25" t="s">
        <v>28</v>
      </c>
      <c r="J20" s="81" t="s">
        <v>122</v>
      </c>
      <c r="K20" s="228"/>
      <c r="L20" s="227">
        <f>+K20*3</f>
        <v>0</v>
      </c>
      <c r="M20" s="367"/>
      <c r="N20" s="366">
        <f>+M20*3</f>
        <v>0</v>
      </c>
      <c r="O20" s="74">
        <v>37</v>
      </c>
      <c r="P20" s="75">
        <f t="shared" si="0"/>
        <v>150</v>
      </c>
      <c r="Q20" s="217"/>
      <c r="R20" s="9">
        <f t="shared" si="1"/>
        <v>150</v>
      </c>
      <c r="S20" s="107"/>
      <c r="T20" s="5"/>
      <c r="U20" s="258">
        <v>900</v>
      </c>
      <c r="V20" s="259">
        <f>+U20*0.13</f>
        <v>117</v>
      </c>
      <c r="W20" s="327">
        <f>+V20+U20</f>
        <v>1017</v>
      </c>
      <c r="X20" s="100"/>
      <c r="Y20" s="266"/>
      <c r="Z20" s="282">
        <f t="shared" si="2"/>
        <v>43676</v>
      </c>
      <c r="AA20" s="318">
        <v>1</v>
      </c>
      <c r="AB20" s="281">
        <v>2</v>
      </c>
      <c r="AC20" s="33" t="s">
        <v>152</v>
      </c>
    </row>
    <row r="21" spans="1:29">
      <c r="H21" s="141"/>
      <c r="I21" s="269" t="s">
        <v>270</v>
      </c>
      <c r="J21" s="270" t="s">
        <v>273</v>
      </c>
      <c r="K21" s="271"/>
      <c r="L21" s="272">
        <v>0</v>
      </c>
      <c r="M21" s="367"/>
      <c r="N21" s="366">
        <v>0</v>
      </c>
      <c r="O21" s="271"/>
      <c r="P21" s="272">
        <f t="shared" si="0"/>
        <v>0</v>
      </c>
      <c r="Q21" s="273"/>
      <c r="R21" s="272">
        <f t="shared" si="1"/>
        <v>0</v>
      </c>
      <c r="S21" s="274"/>
      <c r="T21" s="5"/>
      <c r="U21" s="326">
        <f>+V21+W21</f>
        <v>802.83185840707961</v>
      </c>
      <c r="V21" s="256">
        <f>+V20*W21/W20</f>
        <v>82.83185840707965</v>
      </c>
      <c r="W21" s="261">
        <v>720</v>
      </c>
      <c r="X21" s="36" t="s">
        <v>350</v>
      </c>
      <c r="Z21" s="282">
        <f t="shared" si="2"/>
        <v>43677</v>
      </c>
      <c r="AA21" s="318"/>
      <c r="AB21" s="281"/>
      <c r="AC21" s="33" t="s">
        <v>153</v>
      </c>
    </row>
    <row r="22" spans="1:29">
      <c r="A22" s="215"/>
      <c r="H22" s="142"/>
      <c r="I22" s="25" t="s">
        <v>4</v>
      </c>
      <c r="J22" s="81" t="s">
        <v>111</v>
      </c>
      <c r="K22" s="228"/>
      <c r="L22" s="227">
        <v>0</v>
      </c>
      <c r="M22" s="367"/>
      <c r="N22" s="366">
        <f>+M22*3</f>
        <v>0</v>
      </c>
      <c r="O22" s="28"/>
      <c r="P22" s="75">
        <f t="shared" si="0"/>
        <v>0</v>
      </c>
      <c r="Q22" s="218"/>
      <c r="R22" s="11">
        <f t="shared" si="1"/>
        <v>0</v>
      </c>
      <c r="S22" s="107"/>
      <c r="T22" s="5"/>
      <c r="U22" s="32">
        <f>+U20-U21</f>
        <v>97.168141592920392</v>
      </c>
      <c r="V22" s="47"/>
      <c r="W22" s="33"/>
      <c r="X22" s="262" t="s">
        <v>59</v>
      </c>
      <c r="Z22" s="282">
        <f t="shared" si="2"/>
        <v>43678</v>
      </c>
      <c r="AA22" s="318"/>
      <c r="AB22" s="281"/>
      <c r="AC22" s="33" t="s">
        <v>154</v>
      </c>
    </row>
    <row r="23" spans="1:29">
      <c r="A23" s="215"/>
      <c r="H23" s="142"/>
      <c r="I23" s="25" t="s">
        <v>9</v>
      </c>
      <c r="J23" s="81" t="s">
        <v>128</v>
      </c>
      <c r="K23" s="228"/>
      <c r="L23" s="227">
        <v>0</v>
      </c>
      <c r="M23" s="367"/>
      <c r="N23" s="366">
        <f>3*M23</f>
        <v>0</v>
      </c>
      <c r="O23" s="28">
        <v>23</v>
      </c>
      <c r="P23" s="75">
        <f t="shared" si="0"/>
        <v>138</v>
      </c>
      <c r="Q23" s="374">
        <f>8*11</f>
        <v>88</v>
      </c>
      <c r="R23" s="11">
        <f t="shared" si="1"/>
        <v>226</v>
      </c>
      <c r="S23" s="107"/>
      <c r="T23" s="5"/>
      <c r="U23" s="34">
        <v>150</v>
      </c>
      <c r="V23" s="38">
        <f>+U23-U22</f>
        <v>52.831858407079608</v>
      </c>
      <c r="W23" s="39" t="s">
        <v>63</v>
      </c>
      <c r="X23" s="263">
        <f>150-V23</f>
        <v>97.168141592920392</v>
      </c>
      <c r="Z23" s="282">
        <f t="shared" si="2"/>
        <v>43679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367"/>
      <c r="N24" s="366">
        <v>0</v>
      </c>
      <c r="O24" s="28">
        <v>23</v>
      </c>
      <c r="P24" s="11">
        <f t="shared" si="0"/>
        <v>138</v>
      </c>
      <c r="Q24" s="374">
        <f>8*10</f>
        <v>80</v>
      </c>
      <c r="R24" s="11">
        <f t="shared" si="1"/>
        <v>218</v>
      </c>
      <c r="S24" s="241"/>
      <c r="T24" s="5"/>
      <c r="U24" s="10"/>
      <c r="X24" s="37"/>
      <c r="Z24" s="282">
        <f t="shared" si="2"/>
        <v>43680</v>
      </c>
      <c r="AA24" s="318"/>
      <c r="AB24" s="281"/>
      <c r="AC24" s="61"/>
    </row>
    <row r="25" spans="1:29">
      <c r="H25" s="142"/>
      <c r="I25" s="269" t="s">
        <v>328</v>
      </c>
      <c r="J25" s="270" t="s">
        <v>329</v>
      </c>
      <c r="K25" s="271"/>
      <c r="L25" s="272">
        <v>0</v>
      </c>
      <c r="M25" s="367"/>
      <c r="N25" s="366">
        <v>0</v>
      </c>
      <c r="O25" s="271">
        <v>28</v>
      </c>
      <c r="P25" s="272">
        <f t="shared" si="0"/>
        <v>150</v>
      </c>
      <c r="Q25" s="273"/>
      <c r="R25" s="272">
        <f t="shared" si="1"/>
        <v>150</v>
      </c>
      <c r="S25" s="274"/>
      <c r="T25" s="5"/>
      <c r="Z25" s="282">
        <f t="shared" si="2"/>
        <v>43681</v>
      </c>
      <c r="AA25" s="318"/>
      <c r="AB25" s="281"/>
      <c r="AC25" s="61"/>
    </row>
    <row r="26" spans="1:29">
      <c r="A26" s="237"/>
      <c r="B26" s="237"/>
      <c r="C26" s="237"/>
      <c r="D26" s="238"/>
      <c r="E26" s="237"/>
      <c r="F26" s="239"/>
      <c r="G26" s="237"/>
      <c r="H26" s="142"/>
      <c r="I26" s="25" t="s">
        <v>51</v>
      </c>
      <c r="J26" s="96" t="s">
        <v>134</v>
      </c>
      <c r="K26" s="29"/>
      <c r="L26" s="27">
        <f>+K26*3</f>
        <v>0</v>
      </c>
      <c r="M26" s="367"/>
      <c r="N26" s="366">
        <f>+M26*3</f>
        <v>0</v>
      </c>
      <c r="O26" s="28">
        <v>30</v>
      </c>
      <c r="P26" s="11">
        <f t="shared" si="0"/>
        <v>150</v>
      </c>
      <c r="Q26" s="218"/>
      <c r="R26" s="240">
        <f t="shared" si="1"/>
        <v>150</v>
      </c>
      <c r="S26" s="241"/>
      <c r="T26" s="5"/>
      <c r="U26" s="332" t="s">
        <v>382</v>
      </c>
      <c r="Z26" s="282">
        <f t="shared" si="2"/>
        <v>43682</v>
      </c>
      <c r="AA26" s="318"/>
      <c r="AB26" s="281"/>
      <c r="AC26" s="65"/>
    </row>
    <row r="27" spans="1:29">
      <c r="A27" s="215"/>
      <c r="H27" s="142"/>
      <c r="I27" s="25" t="s">
        <v>61</v>
      </c>
      <c r="J27" s="96" t="s">
        <v>137</v>
      </c>
      <c r="K27" s="28"/>
      <c r="L27" s="11">
        <f>3*K27</f>
        <v>0</v>
      </c>
      <c r="M27" s="367"/>
      <c r="N27" s="366">
        <f>3*M27</f>
        <v>0</v>
      </c>
      <c r="O27" s="28"/>
      <c r="P27" s="11">
        <f t="shared" si="0"/>
        <v>0</v>
      </c>
      <c r="Q27" s="374">
        <f>8*7</f>
        <v>56</v>
      </c>
      <c r="R27" s="361">
        <f t="shared" si="1"/>
        <v>56</v>
      </c>
      <c r="S27" s="241"/>
      <c r="T27" s="5"/>
      <c r="Z27" s="282">
        <f t="shared" si="2"/>
        <v>43683</v>
      </c>
      <c r="AA27" s="319"/>
      <c r="AB27" s="281"/>
      <c r="AC27" s="66"/>
    </row>
    <row r="28" spans="1:29">
      <c r="A28" s="215"/>
      <c r="H28" s="95"/>
      <c r="I28" s="25" t="s">
        <v>14</v>
      </c>
      <c r="J28" s="81" t="s">
        <v>125</v>
      </c>
      <c r="K28" s="228"/>
      <c r="L28" s="227">
        <f>+K28*3</f>
        <v>0</v>
      </c>
      <c r="M28" s="367"/>
      <c r="N28" s="366">
        <f>3*M28</f>
        <v>0</v>
      </c>
      <c r="O28" s="28">
        <v>29</v>
      </c>
      <c r="P28" s="75">
        <f t="shared" si="0"/>
        <v>150</v>
      </c>
      <c r="Q28" s="374">
        <f>8*9</f>
        <v>72</v>
      </c>
      <c r="R28" s="11">
        <f t="shared" si="1"/>
        <v>222</v>
      </c>
      <c r="S28" s="107"/>
      <c r="T28" s="5"/>
      <c r="U28" s="287" t="s">
        <v>347</v>
      </c>
      <c r="Z28" s="314" t="s">
        <v>150</v>
      </c>
      <c r="AA28" s="315">
        <f>SUM(AA17:AA27)</f>
        <v>4</v>
      </c>
      <c r="AB28" s="316" t="s">
        <v>148</v>
      </c>
      <c r="AC28" s="68"/>
    </row>
    <row r="29" spans="1:29">
      <c r="A29" s="215"/>
      <c r="H29" s="83"/>
      <c r="I29" s="126" t="s">
        <v>79</v>
      </c>
      <c r="J29" s="82" t="s">
        <v>110</v>
      </c>
      <c r="K29" s="228"/>
      <c r="L29" s="227">
        <v>0</v>
      </c>
      <c r="M29" s="367"/>
      <c r="N29" s="366">
        <v>0</v>
      </c>
      <c r="O29" s="76">
        <v>32</v>
      </c>
      <c r="P29" s="75">
        <f t="shared" si="0"/>
        <v>150</v>
      </c>
      <c r="Q29" s="217"/>
      <c r="R29" s="11">
        <f t="shared" si="1"/>
        <v>150</v>
      </c>
      <c r="S29" s="106"/>
      <c r="T29" s="5"/>
      <c r="Z29" s="184"/>
      <c r="AA29" s="171">
        <f>SUM(AB17:AB27)</f>
        <v>15</v>
      </c>
      <c r="AB29" s="185" t="s">
        <v>149</v>
      </c>
      <c r="AC29" s="69"/>
    </row>
    <row r="30" spans="1:29" ht="16.5">
      <c r="H30" s="83"/>
      <c r="I30" s="269" t="s">
        <v>214</v>
      </c>
      <c r="J30" s="270" t="s">
        <v>215</v>
      </c>
      <c r="K30" s="271"/>
      <c r="L30" s="272">
        <v>0</v>
      </c>
      <c r="M30" s="367"/>
      <c r="N30" s="366">
        <v>0</v>
      </c>
      <c r="O30" s="271"/>
      <c r="P30" s="272">
        <f t="shared" si="0"/>
        <v>0</v>
      </c>
      <c r="Q30" s="374">
        <f>8*8</f>
        <v>64</v>
      </c>
      <c r="R30" s="272">
        <f t="shared" si="1"/>
        <v>64</v>
      </c>
      <c r="S30" s="274"/>
      <c r="T30" s="5"/>
      <c r="Z30" s="186" t="s">
        <v>160</v>
      </c>
      <c r="AA30" s="284">
        <f>+AA29/AA28</f>
        <v>3.75</v>
      </c>
      <c r="AB30" s="173" t="s">
        <v>150</v>
      </c>
      <c r="AC30" s="65"/>
    </row>
    <row r="31" spans="1:29">
      <c r="A31" s="237"/>
      <c r="B31" s="237"/>
      <c r="C31" s="237"/>
      <c r="D31" s="238"/>
      <c r="E31" s="237"/>
      <c r="F31" s="239"/>
      <c r="G31" s="237"/>
      <c r="H31" s="142"/>
      <c r="I31" s="25" t="s">
        <v>45</v>
      </c>
      <c r="J31" s="96" t="s">
        <v>133</v>
      </c>
      <c r="K31" s="29"/>
      <c r="L31" s="27">
        <f>+K31*3</f>
        <v>0</v>
      </c>
      <c r="M31" s="367"/>
      <c r="N31" s="366">
        <f>+M31*3</f>
        <v>0</v>
      </c>
      <c r="O31" s="28">
        <v>16</v>
      </c>
      <c r="P31" s="11">
        <f t="shared" si="0"/>
        <v>96</v>
      </c>
      <c r="Q31" s="218"/>
      <c r="R31" s="240">
        <f t="shared" si="1"/>
        <v>96</v>
      </c>
      <c r="S31" s="241"/>
      <c r="T31" s="5"/>
    </row>
    <row r="32" spans="1:29">
      <c r="A32" s="215"/>
      <c r="H32" s="142"/>
      <c r="I32" s="25" t="s">
        <v>13</v>
      </c>
      <c r="J32" s="81" t="s">
        <v>319</v>
      </c>
      <c r="K32" s="228"/>
      <c r="L32" s="227">
        <f>3*K32</f>
        <v>0</v>
      </c>
      <c r="M32" s="367"/>
      <c r="N32" s="366">
        <f>5*M32</f>
        <v>0</v>
      </c>
      <c r="O32" s="28">
        <v>28</v>
      </c>
      <c r="P32" s="75">
        <f t="shared" si="0"/>
        <v>150</v>
      </c>
      <c r="Q32" s="374">
        <f>8*14</f>
        <v>112</v>
      </c>
      <c r="R32" s="57">
        <f t="shared" si="1"/>
        <v>262</v>
      </c>
      <c r="S32" s="107"/>
      <c r="T32" s="5"/>
    </row>
    <row r="33" spans="1:32">
      <c r="A33" s="215"/>
      <c r="H33" s="95"/>
      <c r="I33" s="25" t="s">
        <v>31</v>
      </c>
      <c r="J33" s="81" t="s">
        <v>127</v>
      </c>
      <c r="K33" s="228"/>
      <c r="L33" s="227">
        <v>0</v>
      </c>
      <c r="M33" s="367"/>
      <c r="N33" s="366">
        <v>0</v>
      </c>
      <c r="O33" s="28">
        <v>29</v>
      </c>
      <c r="P33" s="75">
        <f t="shared" si="0"/>
        <v>150</v>
      </c>
      <c r="Q33" s="374">
        <f>8*7</f>
        <v>56</v>
      </c>
      <c r="R33" s="11">
        <f t="shared" si="1"/>
        <v>206</v>
      </c>
      <c r="S33" s="107"/>
      <c r="T33" s="5"/>
    </row>
    <row r="34" spans="1:32" s="4" customFormat="1">
      <c r="A34" s="215"/>
      <c r="B34"/>
      <c r="C34"/>
      <c r="D34" s="1"/>
      <c r="E34"/>
      <c r="F34" s="2"/>
      <c r="G34"/>
      <c r="H34" s="95"/>
      <c r="I34" s="25" t="s">
        <v>30</v>
      </c>
      <c r="J34" s="81" t="s">
        <v>126</v>
      </c>
      <c r="K34" s="228"/>
      <c r="L34" s="227">
        <f>+K34*3</f>
        <v>0</v>
      </c>
      <c r="M34" s="367"/>
      <c r="N34" s="366">
        <f>+M34*3</f>
        <v>0</v>
      </c>
      <c r="O34" s="28">
        <v>28</v>
      </c>
      <c r="P34" s="75">
        <f t="shared" si="0"/>
        <v>150</v>
      </c>
      <c r="Q34" s="218"/>
      <c r="R34" s="320">
        <f t="shared" si="1"/>
        <v>150</v>
      </c>
      <c r="S34" s="107"/>
      <c r="T34" s="5"/>
      <c r="U34"/>
      <c r="V34" s="46"/>
      <c r="W34"/>
      <c r="X34"/>
      <c r="Y34"/>
      <c r="Z34"/>
      <c r="AA34"/>
      <c r="AB34"/>
      <c r="AC34"/>
      <c r="AD34"/>
      <c r="AE34"/>
      <c r="AF34"/>
    </row>
    <row r="35" spans="1:32">
      <c r="A35" s="215"/>
      <c r="H35" s="83"/>
      <c r="I35" s="269" t="s">
        <v>186</v>
      </c>
      <c r="J35" s="270" t="s">
        <v>187</v>
      </c>
      <c r="K35" s="271"/>
      <c r="L35" s="272">
        <v>0</v>
      </c>
      <c r="M35" s="367"/>
      <c r="N35" s="366">
        <v>0</v>
      </c>
      <c r="O35" s="271"/>
      <c r="P35" s="272">
        <f t="shared" si="0"/>
        <v>0</v>
      </c>
      <c r="Q35" s="273"/>
      <c r="R35" s="272">
        <f t="shared" si="1"/>
        <v>0</v>
      </c>
      <c r="S35" s="274"/>
      <c r="T35" s="5"/>
    </row>
    <row r="36" spans="1:32">
      <c r="A36" s="215"/>
      <c r="H36" s="83"/>
      <c r="I36" s="25" t="s">
        <v>17</v>
      </c>
      <c r="J36" s="81" t="s">
        <v>123</v>
      </c>
      <c r="K36" s="228"/>
      <c r="L36" s="227">
        <f>+K36*3</f>
        <v>0</v>
      </c>
      <c r="M36" s="367"/>
      <c r="N36" s="366">
        <v>0</v>
      </c>
      <c r="O36" s="74">
        <v>25</v>
      </c>
      <c r="P36" s="75">
        <f t="shared" si="0"/>
        <v>150</v>
      </c>
      <c r="Q36" s="218"/>
      <c r="R36" s="11">
        <f t="shared" si="1"/>
        <v>150</v>
      </c>
      <c r="S36" s="107"/>
      <c r="T36" s="5"/>
    </row>
    <row r="37" spans="1:32">
      <c r="A37" s="215"/>
      <c r="H37" s="83"/>
      <c r="I37" s="25" t="s">
        <v>60</v>
      </c>
      <c r="J37" s="81" t="s">
        <v>132</v>
      </c>
      <c r="K37" s="228"/>
      <c r="L37" s="227">
        <v>0</v>
      </c>
      <c r="M37" s="367"/>
      <c r="N37" s="366">
        <v>0</v>
      </c>
      <c r="O37" s="74"/>
      <c r="P37" s="75">
        <f>IF(O37&gt;25,150,(O37)*6)</f>
        <v>0</v>
      </c>
      <c r="Q37" s="218"/>
      <c r="R37" s="11">
        <f>+L37+N37+P37+Q37</f>
        <v>0</v>
      </c>
      <c r="S37" s="107"/>
      <c r="T37" s="5"/>
    </row>
    <row r="38" spans="1:32">
      <c r="H38" s="142"/>
      <c r="I38" s="25" t="s">
        <v>233</v>
      </c>
      <c r="J38" s="81" t="s">
        <v>234</v>
      </c>
      <c r="K38" s="228"/>
      <c r="L38" s="227">
        <v>0</v>
      </c>
      <c r="M38" s="367"/>
      <c r="N38" s="366">
        <f>3*M38</f>
        <v>0</v>
      </c>
      <c r="O38" s="28"/>
      <c r="P38" s="75">
        <f t="shared" si="0"/>
        <v>0</v>
      </c>
      <c r="Q38" s="374">
        <f>8*11</f>
        <v>88</v>
      </c>
      <c r="R38" s="57">
        <f t="shared" si="1"/>
        <v>88</v>
      </c>
      <c r="S38" s="107"/>
      <c r="T38" s="5"/>
      <c r="AF38" s="4"/>
    </row>
    <row r="39" spans="1:32">
      <c r="A39" s="215"/>
      <c r="H39" s="95"/>
      <c r="I39" s="25" t="s">
        <v>8</v>
      </c>
      <c r="J39" s="81" t="s">
        <v>120</v>
      </c>
      <c r="K39" s="228"/>
      <c r="L39" s="227">
        <v>0</v>
      </c>
      <c r="M39" s="367"/>
      <c r="N39" s="366">
        <v>0</v>
      </c>
      <c r="O39" s="28"/>
      <c r="P39" s="75">
        <f t="shared" si="0"/>
        <v>0</v>
      </c>
      <c r="Q39" s="218"/>
      <c r="R39" s="11">
        <f t="shared" si="1"/>
        <v>0</v>
      </c>
      <c r="S39" s="107"/>
      <c r="T39" s="5"/>
    </row>
    <row r="40" spans="1:32" ht="15.75">
      <c r="A40" s="215"/>
      <c r="H40" s="242" t="s">
        <v>232</v>
      </c>
      <c r="I40" s="188" t="s">
        <v>11</v>
      </c>
      <c r="J40" s="189" t="s">
        <v>130</v>
      </c>
      <c r="K40" s="192"/>
      <c r="L40" s="193">
        <f>+K40*3</f>
        <v>0</v>
      </c>
      <c r="M40" s="368"/>
      <c r="N40" s="369">
        <f>+M40*3</f>
        <v>0</v>
      </c>
      <c r="O40" s="192"/>
      <c r="P40" s="193">
        <f t="shared" si="0"/>
        <v>0</v>
      </c>
      <c r="Q40" s="221"/>
      <c r="R40" s="193">
        <f t="shared" si="1"/>
        <v>0</v>
      </c>
      <c r="S40" s="197"/>
      <c r="T40" s="5"/>
      <c r="V40" s="375">
        <v>12</v>
      </c>
      <c r="W40" s="376">
        <f>+V40/7*6</f>
        <v>10.285714285714285</v>
      </c>
    </row>
    <row r="41" spans="1:32" ht="15.75">
      <c r="H41" s="83"/>
      <c r="I41" s="25" t="s">
        <v>44</v>
      </c>
      <c r="J41" s="96" t="s">
        <v>124</v>
      </c>
      <c r="K41" s="228"/>
      <c r="L41" s="227">
        <f>+K41*3</f>
        <v>0</v>
      </c>
      <c r="M41" s="367"/>
      <c r="N41" s="366">
        <f>+M41*3</f>
        <v>0</v>
      </c>
      <c r="O41" s="113"/>
      <c r="P41" s="75">
        <f t="shared" si="0"/>
        <v>0</v>
      </c>
      <c r="Q41" s="218"/>
      <c r="R41" s="11">
        <f t="shared" si="1"/>
        <v>0</v>
      </c>
      <c r="S41" s="107"/>
      <c r="T41" s="5"/>
      <c r="V41" s="375">
        <v>20</v>
      </c>
      <c r="W41" s="376">
        <f>+V41/7*6</f>
        <v>17.142857142857142</v>
      </c>
    </row>
    <row r="42" spans="1:32" ht="15.75">
      <c r="H42" s="83"/>
      <c r="I42" s="25" t="s">
        <v>6</v>
      </c>
      <c r="J42" s="96" t="s">
        <v>116</v>
      </c>
      <c r="K42" s="228"/>
      <c r="L42" s="227">
        <f>+K42*3</f>
        <v>0</v>
      </c>
      <c r="M42" s="367"/>
      <c r="N42" s="366">
        <f>+M42*3</f>
        <v>0</v>
      </c>
      <c r="O42" s="74"/>
      <c r="P42" s="75">
        <f t="shared" si="0"/>
        <v>0</v>
      </c>
      <c r="Q42" s="220"/>
      <c r="R42" s="11">
        <f t="shared" si="1"/>
        <v>0</v>
      </c>
      <c r="S42" s="107"/>
      <c r="T42" s="5"/>
      <c r="V42" s="375">
        <v>8</v>
      </c>
      <c r="W42" s="377">
        <f>+W41-W40</f>
        <v>6.8571428571428577</v>
      </c>
    </row>
    <row r="43" spans="1:32">
      <c r="H43" s="95"/>
      <c r="I43" s="25" t="s">
        <v>53</v>
      </c>
      <c r="J43" s="81" t="s">
        <v>135</v>
      </c>
      <c r="K43" s="228"/>
      <c r="L43" s="227">
        <v>0</v>
      </c>
      <c r="M43" s="367"/>
      <c r="N43" s="366">
        <v>0</v>
      </c>
      <c r="O43" s="28"/>
      <c r="P43" s="75">
        <f t="shared" si="0"/>
        <v>0</v>
      </c>
      <c r="Q43" s="218"/>
      <c r="R43" s="11">
        <f t="shared" si="1"/>
        <v>0</v>
      </c>
      <c r="S43" s="107"/>
      <c r="T43" s="5"/>
    </row>
    <row r="44" spans="1:32">
      <c r="H44" s="81"/>
      <c r="I44" s="120" t="s">
        <v>12</v>
      </c>
      <c r="J44" s="121" t="s">
        <v>114</v>
      </c>
      <c r="K44" s="122"/>
      <c r="L44" s="15">
        <v>0</v>
      </c>
      <c r="M44" s="370"/>
      <c r="N44" s="371">
        <f>3*M44</f>
        <v>0</v>
      </c>
      <c r="O44" s="122"/>
      <c r="P44" s="15">
        <f t="shared" si="0"/>
        <v>0</v>
      </c>
      <c r="Q44" s="222"/>
      <c r="R44" s="362">
        <f t="shared" si="1"/>
        <v>0</v>
      </c>
      <c r="S44" s="363"/>
      <c r="T44" s="5"/>
    </row>
    <row r="45" spans="1:32">
      <c r="I45" s="13"/>
      <c r="J45" s="14"/>
      <c r="K45" s="234">
        <f t="shared" ref="K45:S45" si="3">SUM(K5:K44)</f>
        <v>0</v>
      </c>
      <c r="L45" s="235">
        <f t="shared" si="3"/>
        <v>0</v>
      </c>
      <c r="M45" s="372">
        <f t="shared" si="3"/>
        <v>0</v>
      </c>
      <c r="N45" s="373">
        <f t="shared" si="3"/>
        <v>0</v>
      </c>
      <c r="O45" s="77">
        <f t="shared" si="3"/>
        <v>541</v>
      </c>
      <c r="P45" s="78">
        <f t="shared" si="3"/>
        <v>2886</v>
      </c>
      <c r="Q45" s="323">
        <f t="shared" si="3"/>
        <v>768</v>
      </c>
      <c r="R45" s="78">
        <f t="shared" si="3"/>
        <v>3654</v>
      </c>
      <c r="S45" s="102">
        <f t="shared" si="3"/>
        <v>0</v>
      </c>
      <c r="T45" s="5"/>
    </row>
    <row r="46" spans="1:32">
      <c r="J46" s="200">
        <f ca="1">TODAY()</f>
        <v>43825</v>
      </c>
      <c r="K46" s="41"/>
      <c r="M46" s="42"/>
      <c r="N46" s="41"/>
      <c r="O46" s="45" t="s">
        <v>81</v>
      </c>
      <c r="Q46" s="42"/>
      <c r="R46" s="45">
        <f>+R8+R10+R11+R13+R16+R40+R38+R27</f>
        <v>616</v>
      </c>
      <c r="T46" s="5"/>
      <c r="AC46">
        <v>4</v>
      </c>
    </row>
    <row r="47" spans="1:32" ht="15" customHeight="1">
      <c r="L47" s="43"/>
      <c r="M47" s="44"/>
      <c r="N47" s="125"/>
      <c r="O47" s="43" t="s">
        <v>91</v>
      </c>
      <c r="P47" s="114">
        <v>2622</v>
      </c>
      <c r="Q47" s="110" t="s">
        <v>58</v>
      </c>
      <c r="R47" s="111">
        <f>+R45-R46</f>
        <v>3038</v>
      </c>
      <c r="S47" s="10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24" t="s">
        <v>441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25" t="s">
        <v>442</v>
      </c>
      <c r="P50" s="19"/>
      <c r="T50" s="5"/>
    </row>
    <row r="51" spans="9:29">
      <c r="I51" s="324" t="s">
        <v>443</v>
      </c>
      <c r="P51" s="19"/>
      <c r="T51" s="5"/>
    </row>
    <row r="52" spans="9:29">
      <c r="I52" s="324" t="s">
        <v>444</v>
      </c>
      <c r="P52" s="19"/>
      <c r="T52" s="5"/>
      <c r="V52" s="59"/>
      <c r="W52" s="60"/>
      <c r="X52" s="61"/>
    </row>
    <row r="53" spans="9:29">
      <c r="I53" s="324" t="s">
        <v>445</v>
      </c>
      <c r="P53" s="19"/>
      <c r="U53" s="58"/>
      <c r="V53" s="59"/>
      <c r="W53" s="60"/>
      <c r="X53" s="61"/>
    </row>
    <row r="54" spans="9:29">
      <c r="I54" s="324" t="s">
        <v>446</v>
      </c>
      <c r="P54" s="19"/>
      <c r="U54" s="58"/>
      <c r="V54" s="59"/>
      <c r="W54" s="60"/>
      <c r="X54" s="61"/>
    </row>
    <row r="55" spans="9:29">
      <c r="I55" s="324" t="s">
        <v>447</v>
      </c>
      <c r="U55" s="58"/>
      <c r="V55" s="59"/>
      <c r="W55" s="60"/>
      <c r="X55" s="69"/>
    </row>
    <row r="56" spans="9:29">
      <c r="I56" s="324" t="s">
        <v>448</v>
      </c>
      <c r="U56" s="58"/>
      <c r="V56" s="59"/>
      <c r="W56" s="60"/>
      <c r="X56" s="60"/>
    </row>
    <row r="57" spans="9:29">
      <c r="U57" s="58"/>
      <c r="V57" s="59"/>
      <c r="W57" s="60"/>
      <c r="X57" s="60"/>
    </row>
    <row r="58" spans="9:29">
      <c r="U58" s="58"/>
      <c r="V58" s="59"/>
      <c r="W58" s="62"/>
      <c r="X58" s="60"/>
    </row>
    <row r="59" spans="9:29">
      <c r="U59" s="58"/>
      <c r="V59" s="59"/>
      <c r="W59" s="62"/>
      <c r="X59" s="60"/>
    </row>
    <row r="60" spans="9:29">
      <c r="U60" s="64"/>
      <c r="V60" s="59"/>
      <c r="W60" s="60"/>
      <c r="X60" s="60"/>
    </row>
    <row r="61" spans="9:29">
      <c r="U61" s="58"/>
      <c r="V61" s="66"/>
      <c r="W61" s="67"/>
      <c r="X61" s="60"/>
    </row>
    <row r="62" spans="9:29">
      <c r="U62" s="60"/>
      <c r="V62" s="59"/>
      <c r="W62" s="60"/>
    </row>
    <row r="63" spans="9:29">
      <c r="U63" s="60"/>
      <c r="V63" s="59"/>
      <c r="W63" s="60"/>
    </row>
    <row r="64" spans="9:29">
      <c r="U64" s="60"/>
      <c r="V64" s="59"/>
      <c r="W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104" priority="2" operator="lessThanOrEqual">
      <formula>0</formula>
    </cfRule>
  </conditionalFormatting>
  <conditionalFormatting sqref="R5:R44">
    <cfRule type="cellIs" dxfId="103" priority="1" operator="greaterThan">
      <formula>0</formula>
    </cfRule>
  </conditionalFormatting>
  <printOptions horizontalCentered="1"/>
  <pageMargins left="0" right="0" top="0.86614173228346458" bottom="0" header="0" footer="0"/>
  <pageSetup paperSize="9" scale="98" orientation="portrait" r:id="rId1"/>
  <ignoredErrors>
    <ignoredError sqref="L19:N27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67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N55" sqref="N5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.7109375" customWidth="1"/>
    <col min="9" max="9" width="7.42578125" customWidth="1"/>
    <col min="10" max="10" width="25.7109375" customWidth="1"/>
    <col min="11" max="11" width="1.7109375" customWidth="1"/>
    <col min="12" max="12" width="1.5703125" customWidth="1"/>
    <col min="13" max="13" width="5.7109375" customWidth="1"/>
    <col min="14" max="14" width="9.7109375" customWidth="1"/>
    <col min="15" max="15" width="6.85546875" customWidth="1"/>
    <col min="16" max="16" width="12.140625" customWidth="1"/>
    <col min="17" max="17" width="7.7109375" customWidth="1"/>
    <col min="18" max="18" width="15.7109375" customWidth="1"/>
    <col min="19" max="19" width="3.7109375" style="103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 ht="14.1" customHeight="1">
      <c r="H2" s="83"/>
      <c r="I2" s="429" t="s">
        <v>434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364" t="s">
        <v>15</v>
      </c>
      <c r="N4" s="364" t="s">
        <v>426</v>
      </c>
      <c r="O4" s="87" t="s">
        <v>15</v>
      </c>
      <c r="P4" s="87" t="s">
        <v>427</v>
      </c>
      <c r="Q4" s="99" t="s">
        <v>428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365"/>
      <c r="N5" s="366">
        <v>0</v>
      </c>
      <c r="O5" s="76">
        <v>37</v>
      </c>
      <c r="P5" s="75">
        <f t="shared" ref="P5:P44" si="0">IF(O5&gt;25,150,(O5)*6)</f>
        <v>150</v>
      </c>
      <c r="Q5" s="217"/>
      <c r="R5" s="11">
        <f t="shared" ref="R5:R44" si="1">+L5+N5+P5+Q5</f>
        <v>150</v>
      </c>
      <c r="S5" s="106"/>
      <c r="T5" s="5"/>
      <c r="U5" s="258">
        <v>815.2</v>
      </c>
      <c r="V5" s="259">
        <v>94</v>
      </c>
      <c r="W5" s="260">
        <v>721.2</v>
      </c>
      <c r="X5" s="333" t="s">
        <v>215</v>
      </c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365"/>
      <c r="N6" s="366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26">
        <f>+V6+W6</f>
        <v>813.84359400998335</v>
      </c>
      <c r="V6" s="256">
        <f>+V5*W6/W5</f>
        <v>93.843594009983349</v>
      </c>
      <c r="W6" s="261">
        <v>720</v>
      </c>
      <c r="X6" s="334" t="s">
        <v>381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367"/>
      <c r="N7" s="366">
        <v>0</v>
      </c>
      <c r="O7" s="74">
        <v>1</v>
      </c>
      <c r="P7" s="75">
        <f t="shared" si="0"/>
        <v>6</v>
      </c>
      <c r="Q7" s="218"/>
      <c r="R7" s="9">
        <f t="shared" si="1"/>
        <v>6</v>
      </c>
      <c r="S7" s="106"/>
      <c r="T7" s="5"/>
      <c r="U7" s="32">
        <f>+U5-U6+0.01</f>
        <v>1.3664059900166967</v>
      </c>
      <c r="V7" s="47"/>
      <c r="W7" s="33"/>
      <c r="X7" s="262" t="s">
        <v>59</v>
      </c>
    </row>
    <row r="8" spans="8:29">
      <c r="H8" s="251" t="s">
        <v>50</v>
      </c>
      <c r="I8" s="275" t="s">
        <v>387</v>
      </c>
      <c r="J8" s="276" t="s">
        <v>388</v>
      </c>
      <c r="K8" s="277"/>
      <c r="L8" s="278">
        <v>0</v>
      </c>
      <c r="M8" s="368"/>
      <c r="N8" s="369">
        <v>0</v>
      </c>
      <c r="O8" s="277">
        <v>21</v>
      </c>
      <c r="P8" s="278">
        <f t="shared" si="0"/>
        <v>126</v>
      </c>
      <c r="Q8" s="279"/>
      <c r="R8" s="278">
        <f t="shared" si="1"/>
        <v>126</v>
      </c>
      <c r="S8" s="280"/>
      <c r="T8" s="5"/>
      <c r="U8" s="34">
        <v>150</v>
      </c>
      <c r="V8" s="335">
        <f>+U8-U7</f>
        <v>148.63359400998331</v>
      </c>
      <c r="W8" s="39" t="s">
        <v>63</v>
      </c>
      <c r="X8" s="263">
        <f>150-V8</f>
        <v>1.3664059900166876</v>
      </c>
    </row>
    <row r="9" spans="8:29">
      <c r="H9" s="83"/>
      <c r="I9" s="25" t="s">
        <v>2</v>
      </c>
      <c r="J9" s="81" t="s">
        <v>107</v>
      </c>
      <c r="K9" s="228"/>
      <c r="L9" s="227">
        <f>+K9*3</f>
        <v>0</v>
      </c>
      <c r="M9" s="367"/>
      <c r="N9" s="366">
        <f>+M9*3</f>
        <v>0</v>
      </c>
      <c r="O9" s="74">
        <v>22</v>
      </c>
      <c r="P9" s="75">
        <f t="shared" si="0"/>
        <v>132</v>
      </c>
      <c r="Q9" s="218"/>
      <c r="R9" s="9">
        <f t="shared" si="1"/>
        <v>132</v>
      </c>
      <c r="S9" s="138"/>
      <c r="T9" s="5"/>
      <c r="U9" s="10"/>
      <c r="X9" s="37"/>
    </row>
    <row r="10" spans="8:29" ht="15" customHeight="1">
      <c r="H10" s="242" t="s">
        <v>227</v>
      </c>
      <c r="I10" s="188" t="s">
        <v>42</v>
      </c>
      <c r="J10" s="242" t="s">
        <v>119</v>
      </c>
      <c r="K10" s="192"/>
      <c r="L10" s="193">
        <f>+K10*3</f>
        <v>0</v>
      </c>
      <c r="M10" s="368"/>
      <c r="N10" s="369">
        <f>+M10*3</f>
        <v>0</v>
      </c>
      <c r="O10" s="192">
        <v>25</v>
      </c>
      <c r="P10" s="193">
        <f t="shared" si="0"/>
        <v>150</v>
      </c>
      <c r="Q10" s="221"/>
      <c r="R10" s="193">
        <f t="shared" si="1"/>
        <v>150</v>
      </c>
      <c r="S10" s="197"/>
      <c r="T10" s="5"/>
      <c r="U10" s="258">
        <v>988</v>
      </c>
      <c r="V10" s="259">
        <v>118.76</v>
      </c>
      <c r="W10" s="260">
        <v>869.24</v>
      </c>
      <c r="X10" s="333" t="s">
        <v>349</v>
      </c>
      <c r="Y10" s="266"/>
    </row>
    <row r="11" spans="8:29">
      <c r="H11" s="251" t="s">
        <v>50</v>
      </c>
      <c r="I11" s="275" t="s">
        <v>1</v>
      </c>
      <c r="J11" s="276" t="s">
        <v>106</v>
      </c>
      <c r="K11" s="277"/>
      <c r="L11" s="278">
        <f>3*K11</f>
        <v>0</v>
      </c>
      <c r="M11" s="368"/>
      <c r="N11" s="369">
        <f>3*M11</f>
        <v>0</v>
      </c>
      <c r="O11" s="277"/>
      <c r="P11" s="278">
        <f t="shared" si="0"/>
        <v>0</v>
      </c>
      <c r="Q11" s="279"/>
      <c r="R11" s="278">
        <f t="shared" si="1"/>
        <v>0</v>
      </c>
      <c r="S11" s="280"/>
      <c r="T11" s="5"/>
      <c r="U11" s="326">
        <f>+V11+W11</f>
        <v>935.44245547834896</v>
      </c>
      <c r="V11" s="256">
        <f>+V10*W11/W10</f>
        <v>112.44245547834892</v>
      </c>
      <c r="W11" s="261">
        <v>823</v>
      </c>
      <c r="X11" s="334" t="s">
        <v>348</v>
      </c>
    </row>
    <row r="12" spans="8:29">
      <c r="H12" s="95"/>
      <c r="I12" s="25" t="s">
        <v>56</v>
      </c>
      <c r="J12" s="81" t="s">
        <v>136</v>
      </c>
      <c r="K12" s="228"/>
      <c r="L12" s="227">
        <v>0</v>
      </c>
      <c r="M12" s="367"/>
      <c r="N12" s="366">
        <f>3*M12</f>
        <v>0</v>
      </c>
      <c r="O12" s="28"/>
      <c r="P12" s="75">
        <f t="shared" si="0"/>
        <v>0</v>
      </c>
      <c r="Q12" s="218"/>
      <c r="R12" s="11">
        <f t="shared" si="1"/>
        <v>0</v>
      </c>
      <c r="S12" s="107"/>
      <c r="T12" s="5"/>
      <c r="U12" s="32">
        <f>+U10-U11</f>
        <v>52.557544521651039</v>
      </c>
      <c r="V12" s="47"/>
      <c r="W12" s="33"/>
      <c r="X12" s="262" t="s">
        <v>59</v>
      </c>
    </row>
    <row r="13" spans="8:29">
      <c r="H13" s="242" t="s">
        <v>227</v>
      </c>
      <c r="I13" s="188" t="s">
        <v>16</v>
      </c>
      <c r="J13" s="242" t="s">
        <v>113</v>
      </c>
      <c r="K13" s="192"/>
      <c r="L13" s="193">
        <v>0</v>
      </c>
      <c r="M13" s="368"/>
      <c r="N13" s="369">
        <v>0</v>
      </c>
      <c r="O13" s="192">
        <v>29</v>
      </c>
      <c r="P13" s="193">
        <f t="shared" si="0"/>
        <v>150</v>
      </c>
      <c r="Q13" s="221"/>
      <c r="R13" s="193">
        <f t="shared" si="1"/>
        <v>150</v>
      </c>
      <c r="S13" s="197"/>
      <c r="T13" s="5"/>
      <c r="U13" s="34">
        <v>150</v>
      </c>
      <c r="V13" s="38">
        <f>+U13-U12</f>
        <v>97.442455478348961</v>
      </c>
      <c r="W13" s="39" t="s">
        <v>63</v>
      </c>
      <c r="X13" s="263">
        <f>150-V13</f>
        <v>52.557544521651039</v>
      </c>
    </row>
    <row r="14" spans="8:29">
      <c r="H14" s="83"/>
      <c r="I14" s="25" t="s">
        <v>92</v>
      </c>
      <c r="J14" s="81" t="s">
        <v>109</v>
      </c>
      <c r="K14" s="228"/>
      <c r="L14" s="227">
        <v>0</v>
      </c>
      <c r="M14" s="367"/>
      <c r="N14" s="366">
        <v>0</v>
      </c>
      <c r="O14" s="74"/>
      <c r="P14" s="75">
        <f t="shared" si="0"/>
        <v>0</v>
      </c>
      <c r="Q14" s="217"/>
      <c r="R14" s="9">
        <f t="shared" si="1"/>
        <v>0</v>
      </c>
      <c r="S14" s="107"/>
      <c r="T14" s="5"/>
      <c r="U14" s="10"/>
      <c r="X14" s="37"/>
    </row>
    <row r="15" spans="8:29">
      <c r="H15" s="83"/>
      <c r="I15" s="25" t="s">
        <v>20</v>
      </c>
      <c r="J15" s="81" t="s">
        <v>195</v>
      </c>
      <c r="K15" s="228"/>
      <c r="L15" s="227">
        <f>+K15*3</f>
        <v>0</v>
      </c>
      <c r="M15" s="367"/>
      <c r="N15" s="366">
        <f>+M15*3</f>
        <v>0</v>
      </c>
      <c r="O15" s="74">
        <v>33</v>
      </c>
      <c r="P15" s="75">
        <f t="shared" si="0"/>
        <v>150</v>
      </c>
      <c r="Q15" s="217"/>
      <c r="R15" s="9">
        <f t="shared" si="1"/>
        <v>150</v>
      </c>
      <c r="S15" s="107"/>
      <c r="T15" s="5"/>
      <c r="U15" s="258">
        <v>880</v>
      </c>
      <c r="V15" s="259">
        <v>114.4</v>
      </c>
      <c r="W15" s="327">
        <v>765.6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251" t="s">
        <v>50</v>
      </c>
      <c r="I16" s="275" t="s">
        <v>272</v>
      </c>
      <c r="J16" s="276" t="s">
        <v>271</v>
      </c>
      <c r="K16" s="277"/>
      <c r="L16" s="278">
        <v>0</v>
      </c>
      <c r="M16" s="368"/>
      <c r="N16" s="369">
        <v>0</v>
      </c>
      <c r="O16" s="277"/>
      <c r="P16" s="278">
        <f t="shared" si="0"/>
        <v>0</v>
      </c>
      <c r="Q16" s="279"/>
      <c r="R16" s="278">
        <f t="shared" si="1"/>
        <v>0</v>
      </c>
      <c r="S16" s="280"/>
      <c r="T16" s="5"/>
      <c r="U16" s="326">
        <f>+V16+W16</f>
        <v>945.97701149425291</v>
      </c>
      <c r="V16" s="256">
        <f>+V15*W16/W15</f>
        <v>122.97701149425289</v>
      </c>
      <c r="W16" s="261">
        <v>823</v>
      </c>
      <c r="X16" s="36" t="s">
        <v>350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25</v>
      </c>
      <c r="J17" s="81" t="s">
        <v>118</v>
      </c>
      <c r="K17" s="228"/>
      <c r="L17" s="227">
        <f>+K17*3</f>
        <v>0</v>
      </c>
      <c r="M17" s="367"/>
      <c r="N17" s="366">
        <f>+M17*3</f>
        <v>0</v>
      </c>
      <c r="O17" s="28">
        <v>16</v>
      </c>
      <c r="P17" s="75">
        <f t="shared" si="0"/>
        <v>96</v>
      </c>
      <c r="Q17" s="218"/>
      <c r="R17" s="11">
        <f t="shared" si="1"/>
        <v>96</v>
      </c>
      <c r="S17" s="107"/>
      <c r="T17" s="5"/>
      <c r="U17" s="32">
        <f>+U15-U16</f>
        <v>-65.977011494252906</v>
      </c>
      <c r="V17" s="47"/>
      <c r="W17" s="33"/>
      <c r="X17" s="262" t="s">
        <v>59</v>
      </c>
      <c r="Z17" s="282">
        <v>43673</v>
      </c>
      <c r="AA17" s="317">
        <v>1</v>
      </c>
      <c r="AB17" s="281">
        <v>3</v>
      </c>
      <c r="AC17" s="174" t="s">
        <v>157</v>
      </c>
    </row>
    <row r="18" spans="1:29">
      <c r="H18" s="95"/>
      <c r="I18" s="25" t="s">
        <v>41</v>
      </c>
      <c r="J18" s="81" t="s">
        <v>112</v>
      </c>
      <c r="K18" s="228"/>
      <c r="L18" s="227">
        <f>+K18*3</f>
        <v>0</v>
      </c>
      <c r="M18" s="367"/>
      <c r="N18" s="366">
        <f>+M18*3</f>
        <v>0</v>
      </c>
      <c r="O18" s="28">
        <v>33</v>
      </c>
      <c r="P18" s="75">
        <f t="shared" si="0"/>
        <v>150</v>
      </c>
      <c r="Q18" s="218"/>
      <c r="R18" s="11">
        <f t="shared" si="1"/>
        <v>150</v>
      </c>
      <c r="S18" s="107"/>
      <c r="T18" s="5"/>
      <c r="U18" s="34">
        <v>150</v>
      </c>
      <c r="V18" s="38">
        <f>+U18-U17</f>
        <v>215.97701149425291</v>
      </c>
      <c r="W18" s="39" t="s">
        <v>63</v>
      </c>
      <c r="X18" s="263">
        <f>150-V18</f>
        <v>-65.977011494252906</v>
      </c>
      <c r="Z18" s="282">
        <f>1+Z17</f>
        <v>43674</v>
      </c>
      <c r="AA18" s="318">
        <v>1</v>
      </c>
      <c r="AB18" s="281">
        <v>5</v>
      </c>
      <c r="AC18" s="33" t="s">
        <v>156</v>
      </c>
    </row>
    <row r="19" spans="1:29">
      <c r="A19" s="215"/>
      <c r="H19" s="83"/>
      <c r="I19" s="126" t="s">
        <v>71</v>
      </c>
      <c r="J19" s="80" t="s">
        <v>139</v>
      </c>
      <c r="K19" s="226"/>
      <c r="L19" s="227">
        <f>5*K19</f>
        <v>0</v>
      </c>
      <c r="M19" s="365"/>
      <c r="N19" s="366">
        <f>5*M19</f>
        <v>0</v>
      </c>
      <c r="O19" s="76">
        <v>25</v>
      </c>
      <c r="P19" s="75">
        <f t="shared" si="0"/>
        <v>150</v>
      </c>
      <c r="Q19" s="217"/>
      <c r="R19" s="11">
        <f t="shared" si="1"/>
        <v>150</v>
      </c>
      <c r="S19" s="106"/>
      <c r="T19" s="5"/>
      <c r="U19" s="10"/>
      <c r="X19" s="37"/>
      <c r="Z19" s="282">
        <f t="shared" ref="Z19:Z27" si="2">1+Z18</f>
        <v>43675</v>
      </c>
      <c r="AA19" s="318">
        <v>1</v>
      </c>
      <c r="AB19" s="281">
        <v>5</v>
      </c>
      <c r="AC19" s="33" t="s">
        <v>151</v>
      </c>
    </row>
    <row r="20" spans="1:29">
      <c r="A20" s="215"/>
      <c r="H20" s="141"/>
      <c r="I20" s="25" t="s">
        <v>28</v>
      </c>
      <c r="J20" s="81" t="s">
        <v>122</v>
      </c>
      <c r="K20" s="228"/>
      <c r="L20" s="227">
        <f>+K20*3</f>
        <v>0</v>
      </c>
      <c r="M20" s="367"/>
      <c r="N20" s="366">
        <f>+M20*3</f>
        <v>0</v>
      </c>
      <c r="O20" s="74">
        <v>36</v>
      </c>
      <c r="P20" s="75">
        <f t="shared" si="0"/>
        <v>150</v>
      </c>
      <c r="Q20" s="217"/>
      <c r="R20" s="9">
        <f t="shared" si="1"/>
        <v>150</v>
      </c>
      <c r="S20" s="107"/>
      <c r="T20" s="5"/>
      <c r="U20" s="258">
        <v>900</v>
      </c>
      <c r="V20" s="259">
        <f>+U20*0.13</f>
        <v>117</v>
      </c>
      <c r="W20" s="327">
        <f>+V20+U20</f>
        <v>1017</v>
      </c>
      <c r="X20" s="100"/>
      <c r="Y20" s="266"/>
      <c r="Z20" s="282">
        <f t="shared" si="2"/>
        <v>43676</v>
      </c>
      <c r="AA20" s="318">
        <v>1</v>
      </c>
      <c r="AB20" s="281">
        <v>2</v>
      </c>
      <c r="AC20" s="33" t="s">
        <v>152</v>
      </c>
    </row>
    <row r="21" spans="1:29">
      <c r="H21" s="141"/>
      <c r="I21" s="269" t="s">
        <v>270</v>
      </c>
      <c r="J21" s="270" t="s">
        <v>273</v>
      </c>
      <c r="K21" s="271"/>
      <c r="L21" s="272">
        <v>0</v>
      </c>
      <c r="M21" s="367"/>
      <c r="N21" s="366">
        <v>0</v>
      </c>
      <c r="O21" s="271"/>
      <c r="P21" s="272">
        <f t="shared" si="0"/>
        <v>0</v>
      </c>
      <c r="Q21" s="273"/>
      <c r="R21" s="272">
        <f t="shared" si="1"/>
        <v>0</v>
      </c>
      <c r="S21" s="274"/>
      <c r="T21" s="5"/>
      <c r="U21" s="326">
        <f>+V21+W21</f>
        <v>802.83185840707961</v>
      </c>
      <c r="V21" s="256">
        <f>+V20*W21/W20</f>
        <v>82.83185840707965</v>
      </c>
      <c r="W21" s="261">
        <v>720</v>
      </c>
      <c r="X21" s="36" t="s">
        <v>350</v>
      </c>
      <c r="Z21" s="282">
        <f t="shared" si="2"/>
        <v>43677</v>
      </c>
      <c r="AA21" s="318"/>
      <c r="AB21" s="281"/>
      <c r="AC21" s="33" t="s">
        <v>153</v>
      </c>
    </row>
    <row r="22" spans="1:29">
      <c r="A22" s="215"/>
      <c r="H22" s="142"/>
      <c r="I22" s="25" t="s">
        <v>4</v>
      </c>
      <c r="J22" s="81" t="s">
        <v>111</v>
      </c>
      <c r="K22" s="228"/>
      <c r="L22" s="227">
        <v>0</v>
      </c>
      <c r="M22" s="367"/>
      <c r="N22" s="366">
        <f>+M22*3</f>
        <v>0</v>
      </c>
      <c r="O22" s="28">
        <v>27</v>
      </c>
      <c r="P22" s="75">
        <f t="shared" si="0"/>
        <v>150</v>
      </c>
      <c r="Q22" s="218"/>
      <c r="R22" s="11">
        <f t="shared" si="1"/>
        <v>150</v>
      </c>
      <c r="S22" s="107"/>
      <c r="T22" s="5"/>
      <c r="U22" s="32">
        <f>+U20-U21</f>
        <v>97.168141592920392</v>
      </c>
      <c r="V22" s="47"/>
      <c r="W22" s="33"/>
      <c r="X22" s="262" t="s">
        <v>59</v>
      </c>
      <c r="Z22" s="282">
        <f t="shared" si="2"/>
        <v>43678</v>
      </c>
      <c r="AA22" s="318"/>
      <c r="AB22" s="281"/>
      <c r="AC22" s="33" t="s">
        <v>154</v>
      </c>
    </row>
    <row r="23" spans="1:29">
      <c r="A23" s="215"/>
      <c r="H23" s="142"/>
      <c r="I23" s="25" t="s">
        <v>9</v>
      </c>
      <c r="J23" s="81" t="s">
        <v>128</v>
      </c>
      <c r="K23" s="228"/>
      <c r="L23" s="227">
        <v>0</v>
      </c>
      <c r="M23" s="367"/>
      <c r="N23" s="366">
        <f>3*M23</f>
        <v>0</v>
      </c>
      <c r="O23" s="28">
        <v>28</v>
      </c>
      <c r="P23" s="75">
        <f t="shared" si="0"/>
        <v>150</v>
      </c>
      <c r="Q23" s="218"/>
      <c r="R23" s="11">
        <f t="shared" si="1"/>
        <v>150</v>
      </c>
      <c r="S23" s="107"/>
      <c r="T23" s="5"/>
      <c r="U23" s="34">
        <v>150</v>
      </c>
      <c r="V23" s="38">
        <f>+U23-U22</f>
        <v>52.831858407079608</v>
      </c>
      <c r="W23" s="39" t="s">
        <v>63</v>
      </c>
      <c r="X23" s="263">
        <f>150-V23</f>
        <v>97.168141592920392</v>
      </c>
      <c r="Z23" s="282">
        <f t="shared" si="2"/>
        <v>43679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367"/>
      <c r="N24" s="366">
        <v>0</v>
      </c>
      <c r="O24" s="28">
        <v>25</v>
      </c>
      <c r="P24" s="11">
        <f t="shared" si="0"/>
        <v>150</v>
      </c>
      <c r="Q24" s="218"/>
      <c r="R24" s="11">
        <f t="shared" si="1"/>
        <v>150</v>
      </c>
      <c r="S24" s="241"/>
      <c r="T24" s="5"/>
      <c r="U24" s="10"/>
      <c r="X24" s="37"/>
      <c r="Z24" s="282">
        <f t="shared" si="2"/>
        <v>43680</v>
      </c>
      <c r="AA24" s="318"/>
      <c r="AB24" s="281"/>
      <c r="AC24" s="61"/>
    </row>
    <row r="25" spans="1:29">
      <c r="H25" s="142"/>
      <c r="I25" s="269" t="s">
        <v>328</v>
      </c>
      <c r="J25" s="270" t="s">
        <v>329</v>
      </c>
      <c r="K25" s="271"/>
      <c r="L25" s="272">
        <v>0</v>
      </c>
      <c r="M25" s="367"/>
      <c r="N25" s="366">
        <v>0</v>
      </c>
      <c r="O25" s="271"/>
      <c r="P25" s="272">
        <f t="shared" si="0"/>
        <v>0</v>
      </c>
      <c r="Q25" s="273"/>
      <c r="R25" s="272">
        <f t="shared" si="1"/>
        <v>0</v>
      </c>
      <c r="S25" s="274"/>
      <c r="T25" s="5"/>
      <c r="Z25" s="282">
        <f t="shared" si="2"/>
        <v>43681</v>
      </c>
      <c r="AA25" s="318"/>
      <c r="AB25" s="281"/>
      <c r="AC25" s="61"/>
    </row>
    <row r="26" spans="1:29">
      <c r="A26" s="237"/>
      <c r="B26" s="237"/>
      <c r="C26" s="237"/>
      <c r="D26" s="238"/>
      <c r="E26" s="237"/>
      <c r="F26" s="239"/>
      <c r="G26" s="237"/>
      <c r="H26" s="142"/>
      <c r="I26" s="25" t="s">
        <v>51</v>
      </c>
      <c r="J26" s="96" t="s">
        <v>134</v>
      </c>
      <c r="K26" s="29"/>
      <c r="L26" s="27">
        <f>+K26*3</f>
        <v>0</v>
      </c>
      <c r="M26" s="367"/>
      <c r="N26" s="366">
        <f>+M26*3</f>
        <v>0</v>
      </c>
      <c r="O26" s="28">
        <v>24</v>
      </c>
      <c r="P26" s="11">
        <f t="shared" si="0"/>
        <v>144</v>
      </c>
      <c r="Q26" s="218"/>
      <c r="R26" s="240">
        <f t="shared" si="1"/>
        <v>144</v>
      </c>
      <c r="S26" s="241"/>
      <c r="T26" s="5"/>
      <c r="U26" s="332" t="s">
        <v>382</v>
      </c>
      <c r="Z26" s="282">
        <f t="shared" si="2"/>
        <v>43682</v>
      </c>
      <c r="AA26" s="318"/>
      <c r="AB26" s="281"/>
      <c r="AC26" s="65"/>
    </row>
    <row r="27" spans="1:29">
      <c r="A27" s="215"/>
      <c r="H27" s="142"/>
      <c r="I27" s="25" t="s">
        <v>61</v>
      </c>
      <c r="J27" s="96" t="s">
        <v>137</v>
      </c>
      <c r="K27" s="28"/>
      <c r="L27" s="11">
        <f>3*K27</f>
        <v>0</v>
      </c>
      <c r="M27" s="367"/>
      <c r="N27" s="366">
        <f>3*M27</f>
        <v>0</v>
      </c>
      <c r="O27" s="28"/>
      <c r="P27" s="11">
        <f t="shared" si="0"/>
        <v>0</v>
      </c>
      <c r="Q27" s="218"/>
      <c r="R27" s="361">
        <f t="shared" si="1"/>
        <v>0</v>
      </c>
      <c r="S27" s="241"/>
      <c r="T27" s="5"/>
      <c r="Z27" s="282">
        <f t="shared" si="2"/>
        <v>43683</v>
      </c>
      <c r="AA27" s="319"/>
      <c r="AB27" s="281"/>
      <c r="AC27" s="66"/>
    </row>
    <row r="28" spans="1:29">
      <c r="A28" s="215"/>
      <c r="H28" s="95"/>
      <c r="I28" s="25" t="s">
        <v>14</v>
      </c>
      <c r="J28" s="81" t="s">
        <v>125</v>
      </c>
      <c r="K28" s="228"/>
      <c r="L28" s="227">
        <f>+K28*3</f>
        <v>0</v>
      </c>
      <c r="M28" s="367"/>
      <c r="N28" s="366">
        <f>3*M28</f>
        <v>0</v>
      </c>
      <c r="O28" s="28">
        <v>25</v>
      </c>
      <c r="P28" s="75">
        <f t="shared" si="0"/>
        <v>150</v>
      </c>
      <c r="Q28" s="218"/>
      <c r="R28" s="11">
        <f t="shared" si="1"/>
        <v>150</v>
      </c>
      <c r="S28" s="107"/>
      <c r="T28" s="5"/>
      <c r="U28" s="287" t="s">
        <v>347</v>
      </c>
      <c r="Z28" s="314" t="s">
        <v>150</v>
      </c>
      <c r="AA28" s="315">
        <f>SUM(AA17:AA27)</f>
        <v>4</v>
      </c>
      <c r="AB28" s="316" t="s">
        <v>148</v>
      </c>
      <c r="AC28" s="68"/>
    </row>
    <row r="29" spans="1:29">
      <c r="A29" s="215"/>
      <c r="H29" s="83"/>
      <c r="I29" s="126" t="s">
        <v>79</v>
      </c>
      <c r="J29" s="82" t="s">
        <v>110</v>
      </c>
      <c r="K29" s="228"/>
      <c r="L29" s="227">
        <v>0</v>
      </c>
      <c r="M29" s="367"/>
      <c r="N29" s="366">
        <v>0</v>
      </c>
      <c r="O29" s="76"/>
      <c r="P29" s="75">
        <f t="shared" si="0"/>
        <v>0</v>
      </c>
      <c r="Q29" s="217"/>
      <c r="R29" s="11">
        <f t="shared" si="1"/>
        <v>0</v>
      </c>
      <c r="S29" s="106"/>
      <c r="T29" s="5"/>
      <c r="Z29" s="184"/>
      <c r="AA29" s="171">
        <f>SUM(AB17:AB27)</f>
        <v>15</v>
      </c>
      <c r="AB29" s="185" t="s">
        <v>149</v>
      </c>
      <c r="AC29" s="69"/>
    </row>
    <row r="30" spans="1:29" ht="16.5">
      <c r="H30" s="83"/>
      <c r="I30" s="269" t="s">
        <v>214</v>
      </c>
      <c r="J30" s="270" t="s">
        <v>215</v>
      </c>
      <c r="K30" s="271"/>
      <c r="L30" s="272">
        <v>0</v>
      </c>
      <c r="M30" s="367"/>
      <c r="N30" s="366">
        <v>0</v>
      </c>
      <c r="O30" s="271"/>
      <c r="P30" s="272">
        <f t="shared" si="0"/>
        <v>0</v>
      </c>
      <c r="Q30" s="273"/>
      <c r="R30" s="272">
        <f t="shared" si="1"/>
        <v>0</v>
      </c>
      <c r="S30" s="274"/>
      <c r="T30" s="5"/>
      <c r="Z30" s="186" t="s">
        <v>160</v>
      </c>
      <c r="AA30" s="284">
        <f>+AA29/AA28</f>
        <v>3.75</v>
      </c>
      <c r="AB30" s="173" t="s">
        <v>150</v>
      </c>
      <c r="AC30" s="65"/>
    </row>
    <row r="31" spans="1:29">
      <c r="A31" s="237"/>
      <c r="B31" s="237"/>
      <c r="C31" s="237"/>
      <c r="D31" s="238"/>
      <c r="E31" s="237"/>
      <c r="F31" s="239"/>
      <c r="G31" s="237"/>
      <c r="H31" s="142"/>
      <c r="I31" s="25" t="s">
        <v>45</v>
      </c>
      <c r="J31" s="96" t="s">
        <v>133</v>
      </c>
      <c r="K31" s="29"/>
      <c r="L31" s="27">
        <f>+K31*3</f>
        <v>0</v>
      </c>
      <c r="M31" s="367"/>
      <c r="N31" s="366">
        <f>+M31*3</f>
        <v>0</v>
      </c>
      <c r="O31" s="28">
        <v>28</v>
      </c>
      <c r="P31" s="11">
        <f t="shared" si="0"/>
        <v>150</v>
      </c>
      <c r="Q31" s="218"/>
      <c r="R31" s="240">
        <f t="shared" si="1"/>
        <v>150</v>
      </c>
      <c r="S31" s="241"/>
      <c r="T31" s="5"/>
      <c r="V31" s="46">
        <v>18</v>
      </c>
    </row>
    <row r="32" spans="1:29">
      <c r="A32" s="215"/>
      <c r="H32" s="142"/>
      <c r="I32" s="25" t="s">
        <v>13</v>
      </c>
      <c r="J32" s="81" t="s">
        <v>319</v>
      </c>
      <c r="K32" s="228"/>
      <c r="L32" s="227">
        <f>3*K32</f>
        <v>0</v>
      </c>
      <c r="M32" s="367"/>
      <c r="N32" s="366">
        <f>5*M32</f>
        <v>0</v>
      </c>
      <c r="O32" s="28">
        <v>18</v>
      </c>
      <c r="P32" s="75">
        <f t="shared" si="0"/>
        <v>108</v>
      </c>
      <c r="Q32" s="218"/>
      <c r="R32" s="57">
        <f t="shared" si="1"/>
        <v>108</v>
      </c>
      <c r="S32" s="107"/>
      <c r="T32" s="5"/>
      <c r="V32" s="46">
        <v>25</v>
      </c>
    </row>
    <row r="33" spans="1:32">
      <c r="A33" s="215"/>
      <c r="H33" s="95"/>
      <c r="I33" s="25" t="s">
        <v>31</v>
      </c>
      <c r="J33" s="81" t="s">
        <v>127</v>
      </c>
      <c r="K33" s="228"/>
      <c r="L33" s="227">
        <v>0</v>
      </c>
      <c r="M33" s="367"/>
      <c r="N33" s="366">
        <v>0</v>
      </c>
      <c r="O33" s="28">
        <v>18</v>
      </c>
      <c r="P33" s="75">
        <f t="shared" si="0"/>
        <v>108</v>
      </c>
      <c r="Q33" s="218"/>
      <c r="R33" s="11">
        <f t="shared" si="1"/>
        <v>108</v>
      </c>
      <c r="S33" s="107"/>
      <c r="T33" s="5"/>
      <c r="V33" s="46">
        <v>5</v>
      </c>
    </row>
    <row r="34" spans="1:32" s="4" customFormat="1">
      <c r="A34" s="215"/>
      <c r="B34"/>
      <c r="C34"/>
      <c r="D34" s="1"/>
      <c r="E34"/>
      <c r="F34" s="2"/>
      <c r="G34"/>
      <c r="H34" s="95"/>
      <c r="I34" s="25" t="s">
        <v>30</v>
      </c>
      <c r="J34" s="81" t="s">
        <v>126</v>
      </c>
      <c r="K34" s="228"/>
      <c r="L34" s="227">
        <f>+K34*3</f>
        <v>0</v>
      </c>
      <c r="M34" s="367"/>
      <c r="N34" s="366">
        <f>+M34*3</f>
        <v>0</v>
      </c>
      <c r="O34" s="28"/>
      <c r="P34" s="75">
        <f t="shared" si="0"/>
        <v>0</v>
      </c>
      <c r="Q34" s="218"/>
      <c r="R34" s="320">
        <f t="shared" si="1"/>
        <v>0</v>
      </c>
      <c r="S34" s="107"/>
      <c r="T34" s="5"/>
      <c r="U34"/>
      <c r="V34" s="46">
        <v>25</v>
      </c>
      <c r="W34"/>
      <c r="X34"/>
      <c r="Y34"/>
      <c r="Z34"/>
      <c r="AA34"/>
      <c r="AB34"/>
      <c r="AC34"/>
      <c r="AD34"/>
      <c r="AE34"/>
      <c r="AF34"/>
    </row>
    <row r="35" spans="1:32">
      <c r="A35" s="215"/>
      <c r="H35" s="83"/>
      <c r="I35" s="269" t="s">
        <v>186</v>
      </c>
      <c r="J35" s="270" t="s">
        <v>187</v>
      </c>
      <c r="K35" s="271"/>
      <c r="L35" s="272">
        <v>0</v>
      </c>
      <c r="M35" s="367"/>
      <c r="N35" s="366">
        <v>0</v>
      </c>
      <c r="O35" s="271"/>
      <c r="P35" s="272">
        <f t="shared" si="0"/>
        <v>0</v>
      </c>
      <c r="Q35" s="273"/>
      <c r="R35" s="272">
        <f t="shared" si="1"/>
        <v>0</v>
      </c>
      <c r="S35" s="274"/>
      <c r="T35" s="5"/>
      <c r="V35" s="46">
        <v>21</v>
      </c>
    </row>
    <row r="36" spans="1:32">
      <c r="A36" s="215"/>
      <c r="H36" s="83"/>
      <c r="I36" s="25" t="s">
        <v>17</v>
      </c>
      <c r="J36" s="81" t="s">
        <v>123</v>
      </c>
      <c r="K36" s="228"/>
      <c r="L36" s="227">
        <f>+K36*3</f>
        <v>0</v>
      </c>
      <c r="M36" s="367"/>
      <c r="N36" s="366">
        <v>0</v>
      </c>
      <c r="O36" s="74"/>
      <c r="P36" s="75">
        <f t="shared" si="0"/>
        <v>0</v>
      </c>
      <c r="Q36" s="218"/>
      <c r="R36" s="11">
        <f t="shared" si="1"/>
        <v>0</v>
      </c>
      <c r="S36" s="107"/>
      <c r="T36" s="5"/>
      <c r="V36" s="46">
        <v>22</v>
      </c>
    </row>
    <row r="37" spans="1:32">
      <c r="A37" s="215"/>
      <c r="H37" s="83"/>
      <c r="I37" s="25" t="s">
        <v>60</v>
      </c>
      <c r="J37" s="81" t="s">
        <v>132</v>
      </c>
      <c r="K37" s="228"/>
      <c r="L37" s="227">
        <v>0</v>
      </c>
      <c r="M37" s="367"/>
      <c r="N37" s="366">
        <v>0</v>
      </c>
      <c r="O37" s="74"/>
      <c r="P37" s="75">
        <f>IF(O37&gt;25,150,(O37)*6)</f>
        <v>0</v>
      </c>
      <c r="Q37" s="218"/>
      <c r="R37" s="11">
        <f>+L37+N37+P37+Q37</f>
        <v>0</v>
      </c>
      <c r="S37" s="107"/>
      <c r="T37" s="5"/>
      <c r="V37" s="46">
        <v>21</v>
      </c>
    </row>
    <row r="38" spans="1:32">
      <c r="H38" s="142"/>
      <c r="I38" s="25" t="s">
        <v>233</v>
      </c>
      <c r="J38" s="81" t="s">
        <v>234</v>
      </c>
      <c r="K38" s="228"/>
      <c r="L38" s="227">
        <v>0</v>
      </c>
      <c r="M38" s="367"/>
      <c r="N38" s="366">
        <f>3*M38</f>
        <v>0</v>
      </c>
      <c r="O38" s="28"/>
      <c r="P38" s="75">
        <f t="shared" si="0"/>
        <v>0</v>
      </c>
      <c r="Q38" s="279"/>
      <c r="R38" s="57">
        <f t="shared" si="1"/>
        <v>0</v>
      </c>
      <c r="S38" s="107"/>
      <c r="T38" s="5"/>
      <c r="V38" s="46">
        <v>19</v>
      </c>
      <c r="AF38" s="4"/>
    </row>
    <row r="39" spans="1:32">
      <c r="A39" s="215"/>
      <c r="H39" s="95"/>
      <c r="I39" s="25" t="s">
        <v>8</v>
      </c>
      <c r="J39" s="81" t="s">
        <v>120</v>
      </c>
      <c r="K39" s="228"/>
      <c r="L39" s="227">
        <v>0</v>
      </c>
      <c r="M39" s="367"/>
      <c r="N39" s="366">
        <v>0</v>
      </c>
      <c r="O39" s="28">
        <v>14</v>
      </c>
      <c r="P39" s="75">
        <f t="shared" si="0"/>
        <v>84</v>
      </c>
      <c r="Q39" s="218"/>
      <c r="R39" s="11">
        <f t="shared" si="1"/>
        <v>84</v>
      </c>
      <c r="S39" s="107"/>
      <c r="T39" s="5"/>
      <c r="V39" s="46">
        <v>31</v>
      </c>
    </row>
    <row r="40" spans="1:32">
      <c r="A40" s="215"/>
      <c r="H40" s="242" t="s">
        <v>227</v>
      </c>
      <c r="I40" s="188" t="s">
        <v>11</v>
      </c>
      <c r="J40" s="189" t="s">
        <v>130</v>
      </c>
      <c r="K40" s="192"/>
      <c r="L40" s="193">
        <f>+K40*3</f>
        <v>0</v>
      </c>
      <c r="M40" s="368"/>
      <c r="N40" s="369">
        <f>+M40*3</f>
        <v>0</v>
      </c>
      <c r="O40" s="192"/>
      <c r="P40" s="193">
        <f t="shared" si="0"/>
        <v>0</v>
      </c>
      <c r="Q40" s="221"/>
      <c r="R40" s="193">
        <f t="shared" si="1"/>
        <v>0</v>
      </c>
      <c r="S40" s="197"/>
      <c r="T40" s="5"/>
      <c r="V40" s="46">
        <v>10</v>
      </c>
    </row>
    <row r="41" spans="1:32">
      <c r="H41" s="83"/>
      <c r="I41" s="25" t="s">
        <v>44</v>
      </c>
      <c r="J41" s="96" t="s">
        <v>124</v>
      </c>
      <c r="K41" s="228"/>
      <c r="L41" s="227">
        <f>+K41*3</f>
        <v>0</v>
      </c>
      <c r="M41" s="367"/>
      <c r="N41" s="366">
        <f>+M41*3</f>
        <v>0</v>
      </c>
      <c r="O41" s="113"/>
      <c r="P41" s="75">
        <f t="shared" si="0"/>
        <v>0</v>
      </c>
      <c r="Q41" s="218"/>
      <c r="R41" s="11">
        <f t="shared" si="1"/>
        <v>0</v>
      </c>
      <c r="S41" s="107"/>
      <c r="T41" s="5"/>
      <c r="V41" s="46">
        <v>23</v>
      </c>
    </row>
    <row r="42" spans="1:32">
      <c r="H42" s="83"/>
      <c r="I42" s="25" t="s">
        <v>6</v>
      </c>
      <c r="J42" s="96" t="s">
        <v>116</v>
      </c>
      <c r="K42" s="228"/>
      <c r="L42" s="227">
        <f>+K42*3</f>
        <v>0</v>
      </c>
      <c r="M42" s="367"/>
      <c r="N42" s="366">
        <f>+M42*3</f>
        <v>0</v>
      </c>
      <c r="O42" s="74">
        <v>18</v>
      </c>
      <c r="P42" s="75">
        <f t="shared" si="0"/>
        <v>108</v>
      </c>
      <c r="Q42" s="220"/>
      <c r="R42" s="11">
        <f t="shared" si="1"/>
        <v>108</v>
      </c>
      <c r="S42" s="107"/>
      <c r="T42" s="5"/>
      <c r="V42" s="46">
        <f>SUM(V31:V41)</f>
        <v>220</v>
      </c>
    </row>
    <row r="43" spans="1:32">
      <c r="H43" s="95"/>
      <c r="I43" s="25" t="s">
        <v>53</v>
      </c>
      <c r="J43" s="81" t="s">
        <v>135</v>
      </c>
      <c r="K43" s="228"/>
      <c r="L43" s="227">
        <v>0</v>
      </c>
      <c r="M43" s="367"/>
      <c r="N43" s="366">
        <v>0</v>
      </c>
      <c r="O43" s="28"/>
      <c r="P43" s="75">
        <f t="shared" si="0"/>
        <v>0</v>
      </c>
      <c r="Q43" s="218"/>
      <c r="R43" s="11">
        <f t="shared" si="1"/>
        <v>0</v>
      </c>
      <c r="S43" s="107"/>
      <c r="T43" s="5"/>
    </row>
    <row r="44" spans="1:32">
      <c r="H44" s="81"/>
      <c r="I44" s="120" t="s">
        <v>12</v>
      </c>
      <c r="J44" s="121" t="s">
        <v>114</v>
      </c>
      <c r="K44" s="122"/>
      <c r="L44" s="15">
        <v>0</v>
      </c>
      <c r="M44" s="370"/>
      <c r="N44" s="371">
        <f>3*M44</f>
        <v>0</v>
      </c>
      <c r="O44" s="122">
        <v>27</v>
      </c>
      <c r="P44" s="15">
        <f t="shared" si="0"/>
        <v>150</v>
      </c>
      <c r="Q44" s="222"/>
      <c r="R44" s="362">
        <f t="shared" si="1"/>
        <v>150</v>
      </c>
      <c r="S44" s="363"/>
      <c r="T44" s="5"/>
    </row>
    <row r="45" spans="1:32">
      <c r="I45" s="13"/>
      <c r="J45" s="14"/>
      <c r="K45" s="234">
        <f t="shared" ref="K45:S45" si="3">SUM(K5:K44)</f>
        <v>0</v>
      </c>
      <c r="L45" s="235">
        <f t="shared" si="3"/>
        <v>0</v>
      </c>
      <c r="M45" s="372">
        <f t="shared" si="3"/>
        <v>0</v>
      </c>
      <c r="N45" s="373">
        <f t="shared" si="3"/>
        <v>0</v>
      </c>
      <c r="O45" s="77">
        <f t="shared" si="3"/>
        <v>530</v>
      </c>
      <c r="P45" s="78">
        <f t="shared" si="3"/>
        <v>2862</v>
      </c>
      <c r="Q45" s="323">
        <f t="shared" si="3"/>
        <v>0</v>
      </c>
      <c r="R45" s="78">
        <f t="shared" si="3"/>
        <v>2862</v>
      </c>
      <c r="S45" s="102">
        <f t="shared" si="3"/>
        <v>0</v>
      </c>
      <c r="T45" s="5"/>
    </row>
    <row r="46" spans="1:32">
      <c r="J46" s="200">
        <f ca="1">TODAY()</f>
        <v>43825</v>
      </c>
      <c r="K46" s="41"/>
      <c r="M46" s="42"/>
      <c r="N46" s="41"/>
      <c r="O46" s="45" t="s">
        <v>81</v>
      </c>
      <c r="Q46" s="42"/>
      <c r="R46" s="45">
        <f>+R8+R10+R11+R13+R16+R40</f>
        <v>426</v>
      </c>
      <c r="T46" s="5"/>
      <c r="AC46">
        <v>4</v>
      </c>
    </row>
    <row r="47" spans="1:32" ht="15" customHeight="1">
      <c r="L47" s="43"/>
      <c r="M47" s="44"/>
      <c r="N47" s="125"/>
      <c r="O47" s="43" t="s">
        <v>91</v>
      </c>
      <c r="P47" s="114">
        <v>2622</v>
      </c>
      <c r="Q47" s="110" t="s">
        <v>58</v>
      </c>
      <c r="R47" s="111">
        <f>+R45-R46</f>
        <v>2436</v>
      </c>
      <c r="S47" s="10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24" t="s">
        <v>308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25" t="s">
        <v>309</v>
      </c>
      <c r="P50" s="19"/>
      <c r="T50" s="5"/>
    </row>
    <row r="51" spans="9:29">
      <c r="I51" s="324" t="s">
        <v>435</v>
      </c>
      <c r="P51" s="19"/>
      <c r="T51" s="5"/>
    </row>
    <row r="52" spans="9:29">
      <c r="I52" s="324" t="s">
        <v>436</v>
      </c>
      <c r="P52" s="19"/>
      <c r="T52" s="5"/>
      <c r="V52" s="59"/>
      <c r="W52" s="60"/>
      <c r="X52" s="61"/>
    </row>
    <row r="53" spans="9:29">
      <c r="I53" s="324" t="s">
        <v>437</v>
      </c>
      <c r="P53" s="19"/>
      <c r="U53" s="58"/>
      <c r="V53" s="59"/>
      <c r="W53" s="60"/>
      <c r="X53" s="61"/>
    </row>
    <row r="54" spans="9:29">
      <c r="I54" s="324" t="s">
        <v>343</v>
      </c>
      <c r="P54" s="19"/>
      <c r="U54" s="58"/>
      <c r="V54" s="59"/>
      <c r="W54" s="60"/>
      <c r="X54" s="61"/>
    </row>
    <row r="55" spans="9:29">
      <c r="U55" s="58"/>
      <c r="V55" s="59"/>
      <c r="W55" s="60"/>
      <c r="X55" s="69"/>
    </row>
    <row r="56" spans="9:29">
      <c r="U56" s="58"/>
      <c r="V56" s="59"/>
      <c r="W56" s="60"/>
      <c r="X56" s="60"/>
    </row>
    <row r="57" spans="9:29">
      <c r="U57" s="58"/>
      <c r="V57" s="59"/>
      <c r="W57" s="60"/>
      <c r="X57" s="60"/>
    </row>
    <row r="58" spans="9:29">
      <c r="U58" s="58"/>
      <c r="V58" s="59"/>
      <c r="W58" s="62"/>
      <c r="X58" s="60"/>
    </row>
    <row r="59" spans="9:29">
      <c r="U59" s="58"/>
      <c r="V59" s="59"/>
      <c r="W59" s="62"/>
      <c r="X59" s="60"/>
    </row>
    <row r="60" spans="9:29">
      <c r="U60" s="64"/>
      <c r="V60" s="59"/>
      <c r="W60" s="60"/>
      <c r="X60" s="60"/>
    </row>
    <row r="61" spans="9:29">
      <c r="U61" s="58"/>
      <c r="V61" s="66"/>
      <c r="W61" s="67"/>
      <c r="X61" s="60"/>
    </row>
    <row r="62" spans="9:29">
      <c r="U62" s="60"/>
      <c r="V62" s="59"/>
      <c r="W62" s="60"/>
    </row>
    <row r="63" spans="9:29">
      <c r="U63" s="60"/>
      <c r="V63" s="59"/>
      <c r="W63" s="60"/>
    </row>
    <row r="64" spans="9:29">
      <c r="U64" s="60"/>
      <c r="V64" s="59"/>
      <c r="W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102" priority="2" operator="lessThanOrEqual">
      <formula>0</formula>
    </cfRule>
  </conditionalFormatting>
  <conditionalFormatting sqref="R5:R44">
    <cfRule type="cellIs" dxfId="101" priority="1" operator="greaterThan">
      <formula>0</formula>
    </cfRule>
  </conditionalFormatting>
  <printOptions horizontalCentered="1"/>
  <pageMargins left="0" right="0" top="0.86614173228346458" bottom="0" header="0" footer="0"/>
  <pageSetup paperSize="9" scale="9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69"/>
  <sheetViews>
    <sheetView zoomScale="85" zoomScaleNormal="85" workbookViewId="0">
      <pane xSplit="10" ySplit="4" topLeftCell="K45" activePane="bottomRight" state="frozen"/>
      <selection pane="topRight" activeCell="K1" sqref="K1"/>
      <selection pane="bottomLeft" activeCell="A5" sqref="A5"/>
      <selection pane="bottomRight" activeCell="K45" sqref="K4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.7109375" customWidth="1"/>
    <col min="9" max="9" width="7.42578125" customWidth="1"/>
    <col min="10" max="10" width="25.7109375" customWidth="1"/>
    <col min="11" max="11" width="1.7109375" customWidth="1"/>
    <col min="12" max="12" width="1.5703125" customWidth="1"/>
    <col min="13" max="13" width="5.7109375" customWidth="1"/>
    <col min="14" max="14" width="9.7109375" customWidth="1"/>
    <col min="15" max="15" width="6.85546875" customWidth="1"/>
    <col min="16" max="16" width="12.140625" customWidth="1"/>
    <col min="17" max="17" width="7.7109375" customWidth="1"/>
    <col min="18" max="18" width="15.7109375" customWidth="1"/>
    <col min="19" max="19" width="3.7109375" style="103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 ht="14.1" customHeight="1">
      <c r="H2" s="83"/>
      <c r="I2" s="429" t="s">
        <v>425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351" t="s">
        <v>15</v>
      </c>
      <c r="N4" s="351" t="s">
        <v>426</v>
      </c>
      <c r="O4" s="87" t="s">
        <v>15</v>
      </c>
      <c r="P4" s="87" t="s">
        <v>427</v>
      </c>
      <c r="Q4" s="99" t="s">
        <v>428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352"/>
      <c r="N5" s="353">
        <v>0</v>
      </c>
      <c r="O5" s="76">
        <v>27</v>
      </c>
      <c r="P5" s="75">
        <f t="shared" ref="P5:P44" si="0">IF(O5&gt;25,150,(O5)*6)</f>
        <v>150</v>
      </c>
      <c r="Q5" s="217"/>
      <c r="R5" s="11">
        <f t="shared" ref="R5:R44" si="1">+L5+N5+P5+Q5</f>
        <v>150</v>
      </c>
      <c r="S5" s="106"/>
      <c r="T5" s="5"/>
      <c r="U5" s="258">
        <v>815.2</v>
      </c>
      <c r="V5" s="259">
        <v>94</v>
      </c>
      <c r="W5" s="260">
        <v>721.2</v>
      </c>
      <c r="X5" s="333" t="s">
        <v>215</v>
      </c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352"/>
      <c r="N6" s="35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26">
        <f>+V6+W6</f>
        <v>813.84359400998335</v>
      </c>
      <c r="V6" s="256">
        <f>+V5*W6/W5</f>
        <v>93.843594009983349</v>
      </c>
      <c r="W6" s="261">
        <v>720</v>
      </c>
      <c r="X6" s="334" t="s">
        <v>381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354"/>
      <c r="N7" s="353">
        <v>0</v>
      </c>
      <c r="O7" s="74">
        <v>25</v>
      </c>
      <c r="P7" s="75">
        <f t="shared" si="0"/>
        <v>150</v>
      </c>
      <c r="Q7" s="218"/>
      <c r="R7" s="9">
        <f t="shared" si="1"/>
        <v>150</v>
      </c>
      <c r="S7" s="106"/>
      <c r="T7" s="5"/>
      <c r="U7" s="32">
        <f>+U5-U6+0.01</f>
        <v>1.3664059900166967</v>
      </c>
      <c r="V7" s="47"/>
      <c r="W7" s="33"/>
      <c r="X7" s="262" t="s">
        <v>59</v>
      </c>
    </row>
    <row r="8" spans="8:29">
      <c r="H8" s="251" t="s">
        <v>50</v>
      </c>
      <c r="I8" s="275" t="s">
        <v>387</v>
      </c>
      <c r="J8" s="276" t="s">
        <v>388</v>
      </c>
      <c r="K8" s="277"/>
      <c r="L8" s="278">
        <v>0</v>
      </c>
      <c r="M8" s="355">
        <v>18</v>
      </c>
      <c r="N8" s="356">
        <v>0</v>
      </c>
      <c r="O8" s="277"/>
      <c r="P8" s="278">
        <f t="shared" si="0"/>
        <v>0</v>
      </c>
      <c r="Q8" s="279">
        <f>30+10</f>
        <v>40</v>
      </c>
      <c r="R8" s="278">
        <f t="shared" si="1"/>
        <v>40</v>
      </c>
      <c r="S8" s="280"/>
      <c r="T8" s="5"/>
      <c r="U8" s="34">
        <v>150</v>
      </c>
      <c r="V8" s="335">
        <f>+U8-U7</f>
        <v>148.63359400998331</v>
      </c>
      <c r="W8" s="39" t="s">
        <v>63</v>
      </c>
      <c r="X8" s="263">
        <f>150-V8</f>
        <v>1.3664059900166876</v>
      </c>
    </row>
    <row r="9" spans="8:29">
      <c r="H9" s="83"/>
      <c r="I9" s="25" t="s">
        <v>2</v>
      </c>
      <c r="J9" s="81" t="s">
        <v>107</v>
      </c>
      <c r="K9" s="228"/>
      <c r="L9" s="227">
        <f>+K9*3</f>
        <v>0</v>
      </c>
      <c r="M9" s="354"/>
      <c r="N9" s="353">
        <f>+M9*3</f>
        <v>0</v>
      </c>
      <c r="O9" s="74">
        <v>39</v>
      </c>
      <c r="P9" s="75">
        <f t="shared" si="0"/>
        <v>150</v>
      </c>
      <c r="Q9" s="218"/>
      <c r="R9" s="9">
        <f t="shared" si="1"/>
        <v>150</v>
      </c>
      <c r="S9" s="138"/>
      <c r="T9" s="5"/>
      <c r="U9" s="10"/>
      <c r="X9" s="37"/>
    </row>
    <row r="10" spans="8:29" ht="15" customHeight="1">
      <c r="H10" s="242" t="s">
        <v>170</v>
      </c>
      <c r="I10" s="188" t="s">
        <v>42</v>
      </c>
      <c r="J10" s="242" t="s">
        <v>119</v>
      </c>
      <c r="K10" s="192"/>
      <c r="L10" s="193">
        <f>+K10*3</f>
        <v>0</v>
      </c>
      <c r="M10" s="192"/>
      <c r="N10" s="193">
        <f>+M10*3</f>
        <v>0</v>
      </c>
      <c r="O10" s="192">
        <v>30</v>
      </c>
      <c r="P10" s="193">
        <f t="shared" si="0"/>
        <v>150</v>
      </c>
      <c r="Q10" s="221"/>
      <c r="R10" s="193">
        <f t="shared" si="1"/>
        <v>150</v>
      </c>
      <c r="S10" s="197"/>
      <c r="T10" s="5"/>
      <c r="U10" s="258">
        <v>988</v>
      </c>
      <c r="V10" s="259">
        <v>118.76</v>
      </c>
      <c r="W10" s="260">
        <v>869.24</v>
      </c>
      <c r="X10" s="333" t="s">
        <v>349</v>
      </c>
      <c r="Y10" s="266"/>
    </row>
    <row r="11" spans="8:29">
      <c r="H11" s="251" t="s">
        <v>50</v>
      </c>
      <c r="I11" s="275" t="s">
        <v>1</v>
      </c>
      <c r="J11" s="276" t="s">
        <v>106</v>
      </c>
      <c r="K11" s="277"/>
      <c r="L11" s="278">
        <f>3*K11</f>
        <v>0</v>
      </c>
      <c r="M11" s="355"/>
      <c r="N11" s="356">
        <f>3*M11</f>
        <v>0</v>
      </c>
      <c r="O11" s="277"/>
      <c r="P11" s="278">
        <f t="shared" si="0"/>
        <v>0</v>
      </c>
      <c r="Q11" s="279"/>
      <c r="R11" s="278">
        <f t="shared" si="1"/>
        <v>0</v>
      </c>
      <c r="S11" s="280"/>
      <c r="T11" s="5"/>
      <c r="U11" s="326">
        <f>+V11+W11</f>
        <v>935.44245547834896</v>
      </c>
      <c r="V11" s="256">
        <f>+V10*W11/W10</f>
        <v>112.44245547834892</v>
      </c>
      <c r="W11" s="261">
        <v>823</v>
      </c>
      <c r="X11" s="334" t="s">
        <v>348</v>
      </c>
    </row>
    <row r="12" spans="8:29">
      <c r="H12" s="95"/>
      <c r="I12" s="25" t="s">
        <v>56</v>
      </c>
      <c r="J12" s="81" t="s">
        <v>136</v>
      </c>
      <c r="K12" s="228"/>
      <c r="L12" s="227">
        <v>0</v>
      </c>
      <c r="M12" s="354">
        <v>25</v>
      </c>
      <c r="N12" s="353">
        <f>3*M12</f>
        <v>75</v>
      </c>
      <c r="O12" s="28"/>
      <c r="P12" s="75">
        <f t="shared" si="0"/>
        <v>0</v>
      </c>
      <c r="Q12" s="218">
        <f>30+10</f>
        <v>40</v>
      </c>
      <c r="R12" s="11">
        <f t="shared" si="1"/>
        <v>115</v>
      </c>
      <c r="S12" s="107"/>
      <c r="T12" s="5"/>
      <c r="U12" s="32">
        <f>+U10-U11</f>
        <v>52.557544521651039</v>
      </c>
      <c r="V12" s="47"/>
      <c r="W12" s="33"/>
      <c r="X12" s="262" t="s">
        <v>59</v>
      </c>
    </row>
    <row r="13" spans="8:29">
      <c r="H13" s="242" t="s">
        <v>170</v>
      </c>
      <c r="I13" s="188" t="s">
        <v>16</v>
      </c>
      <c r="J13" s="242" t="s">
        <v>113</v>
      </c>
      <c r="K13" s="192"/>
      <c r="L13" s="193">
        <v>0</v>
      </c>
      <c r="M13" s="192"/>
      <c r="N13" s="193">
        <v>0</v>
      </c>
      <c r="O13" s="192">
        <v>25</v>
      </c>
      <c r="P13" s="193">
        <f t="shared" si="0"/>
        <v>150</v>
      </c>
      <c r="Q13" s="221"/>
      <c r="R13" s="193">
        <f t="shared" si="1"/>
        <v>150</v>
      </c>
      <c r="S13" s="197"/>
      <c r="T13" s="5"/>
      <c r="U13" s="34">
        <v>150</v>
      </c>
      <c r="V13" s="38">
        <f>+U13-U12</f>
        <v>97.442455478348961</v>
      </c>
      <c r="W13" s="39" t="s">
        <v>63</v>
      </c>
      <c r="X13" s="263">
        <f>150-V13</f>
        <v>52.557544521651039</v>
      </c>
    </row>
    <row r="14" spans="8:29">
      <c r="H14" s="83"/>
      <c r="I14" s="25" t="s">
        <v>92</v>
      </c>
      <c r="J14" s="81" t="s">
        <v>109</v>
      </c>
      <c r="K14" s="228"/>
      <c r="L14" s="227">
        <v>0</v>
      </c>
      <c r="M14" s="354"/>
      <c r="N14" s="353">
        <v>0</v>
      </c>
      <c r="O14" s="74"/>
      <c r="P14" s="75">
        <f t="shared" si="0"/>
        <v>0</v>
      </c>
      <c r="Q14" s="217"/>
      <c r="R14" s="9">
        <f t="shared" si="1"/>
        <v>0</v>
      </c>
      <c r="S14" s="107"/>
      <c r="T14" s="5"/>
      <c r="U14" s="10"/>
      <c r="X14" s="37"/>
    </row>
    <row r="15" spans="8:29">
      <c r="H15" s="83"/>
      <c r="I15" s="25" t="s">
        <v>20</v>
      </c>
      <c r="J15" s="81" t="s">
        <v>195</v>
      </c>
      <c r="K15" s="228"/>
      <c r="L15" s="227">
        <f>+K15*3</f>
        <v>0</v>
      </c>
      <c r="M15" s="354"/>
      <c r="N15" s="353">
        <f>+M15*3</f>
        <v>0</v>
      </c>
      <c r="O15" s="74">
        <v>38</v>
      </c>
      <c r="P15" s="75">
        <f t="shared" si="0"/>
        <v>150</v>
      </c>
      <c r="Q15" s="217"/>
      <c r="R15" s="9">
        <f t="shared" si="1"/>
        <v>150</v>
      </c>
      <c r="S15" s="107"/>
      <c r="T15" s="5"/>
      <c r="U15" s="258">
        <v>880</v>
      </c>
      <c r="V15" s="259">
        <v>114.4</v>
      </c>
      <c r="W15" s="327">
        <v>765.6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251" t="s">
        <v>50</v>
      </c>
      <c r="I16" s="275" t="s">
        <v>272</v>
      </c>
      <c r="J16" s="276" t="s">
        <v>271</v>
      </c>
      <c r="K16" s="277"/>
      <c r="L16" s="278">
        <v>0</v>
      </c>
      <c r="M16" s="355">
        <v>5</v>
      </c>
      <c r="N16" s="356">
        <v>0</v>
      </c>
      <c r="O16" s="277"/>
      <c r="P16" s="278">
        <f t="shared" si="0"/>
        <v>0</v>
      </c>
      <c r="Q16" s="279">
        <v>0</v>
      </c>
      <c r="R16" s="278">
        <f t="shared" si="1"/>
        <v>0</v>
      </c>
      <c r="S16" s="280"/>
      <c r="T16" s="5"/>
      <c r="U16" s="326">
        <f>+V16+W16</f>
        <v>945.97701149425291</v>
      </c>
      <c r="V16" s="256">
        <f>+V15*W16/W15</f>
        <v>122.97701149425289</v>
      </c>
      <c r="W16" s="261">
        <v>823</v>
      </c>
      <c r="X16" s="36" t="s">
        <v>350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25</v>
      </c>
      <c r="J17" s="81" t="s">
        <v>118</v>
      </c>
      <c r="K17" s="228"/>
      <c r="L17" s="227">
        <f>+K17*3</f>
        <v>0</v>
      </c>
      <c r="M17" s="354"/>
      <c r="N17" s="353">
        <f>+M17*3</f>
        <v>0</v>
      </c>
      <c r="O17" s="28"/>
      <c r="P17" s="75">
        <f t="shared" si="0"/>
        <v>0</v>
      </c>
      <c r="Q17" s="218"/>
      <c r="R17" s="11">
        <f t="shared" si="1"/>
        <v>0</v>
      </c>
      <c r="S17" s="107"/>
      <c r="T17" s="5"/>
      <c r="U17" s="32">
        <f>+U15-U16</f>
        <v>-65.977011494252906</v>
      </c>
      <c r="V17" s="47"/>
      <c r="W17" s="33"/>
      <c r="X17" s="262" t="s">
        <v>59</v>
      </c>
      <c r="Z17" s="282">
        <v>43673</v>
      </c>
      <c r="AA17" s="317">
        <v>1</v>
      </c>
      <c r="AB17" s="281">
        <v>3</v>
      </c>
      <c r="AC17" s="174" t="s">
        <v>157</v>
      </c>
    </row>
    <row r="18" spans="1:29">
      <c r="H18" s="95"/>
      <c r="I18" s="25" t="s">
        <v>41</v>
      </c>
      <c r="J18" s="81" t="s">
        <v>112</v>
      </c>
      <c r="K18" s="228"/>
      <c r="L18" s="227">
        <f>+K18*3</f>
        <v>0</v>
      </c>
      <c r="M18" s="354"/>
      <c r="N18" s="353">
        <f>+M18*3</f>
        <v>0</v>
      </c>
      <c r="O18" s="28"/>
      <c r="P18" s="75">
        <f t="shared" si="0"/>
        <v>0</v>
      </c>
      <c r="Q18" s="218"/>
      <c r="R18" s="11">
        <f t="shared" si="1"/>
        <v>0</v>
      </c>
      <c r="S18" s="107"/>
      <c r="T18" s="5"/>
      <c r="U18" s="34">
        <v>150</v>
      </c>
      <c r="V18" s="38">
        <f>+U18-U17</f>
        <v>215.97701149425291</v>
      </c>
      <c r="W18" s="39" t="s">
        <v>63</v>
      </c>
      <c r="X18" s="263">
        <f>150-V18</f>
        <v>-65.977011494252906</v>
      </c>
      <c r="Z18" s="282">
        <f>1+Z17</f>
        <v>43674</v>
      </c>
      <c r="AA18" s="318">
        <v>1</v>
      </c>
      <c r="AB18" s="281">
        <v>5</v>
      </c>
      <c r="AC18" s="33" t="s">
        <v>156</v>
      </c>
    </row>
    <row r="19" spans="1:29">
      <c r="A19" s="215"/>
      <c r="H19" s="83"/>
      <c r="I19" s="126" t="s">
        <v>71</v>
      </c>
      <c r="J19" s="80" t="s">
        <v>139</v>
      </c>
      <c r="K19" s="226"/>
      <c r="L19" s="227">
        <f>5*K19</f>
        <v>0</v>
      </c>
      <c r="M19" s="352"/>
      <c r="N19" s="353">
        <f>5*M19</f>
        <v>0</v>
      </c>
      <c r="O19" s="76">
        <v>24</v>
      </c>
      <c r="P19" s="75">
        <f t="shared" si="0"/>
        <v>144</v>
      </c>
      <c r="Q19" s="217"/>
      <c r="R19" s="11">
        <f t="shared" si="1"/>
        <v>144</v>
      </c>
      <c r="S19" s="106"/>
      <c r="T19" s="5"/>
      <c r="U19" s="10"/>
      <c r="X19" s="37"/>
      <c r="Z19" s="282">
        <f t="shared" ref="Z19:Z27" si="2">1+Z18</f>
        <v>43675</v>
      </c>
      <c r="AA19" s="318">
        <v>1</v>
      </c>
      <c r="AB19" s="281">
        <v>5</v>
      </c>
      <c r="AC19" s="33" t="s">
        <v>151</v>
      </c>
    </row>
    <row r="20" spans="1:29">
      <c r="A20" s="215"/>
      <c r="H20" s="141"/>
      <c r="I20" s="25" t="s">
        <v>28</v>
      </c>
      <c r="J20" s="81" t="s">
        <v>122</v>
      </c>
      <c r="K20" s="228"/>
      <c r="L20" s="227">
        <f>+K20*3</f>
        <v>0</v>
      </c>
      <c r="M20" s="354"/>
      <c r="N20" s="353">
        <f>+M20*3</f>
        <v>0</v>
      </c>
      <c r="O20" s="74">
        <v>35</v>
      </c>
      <c r="P20" s="75">
        <f t="shared" si="0"/>
        <v>150</v>
      </c>
      <c r="Q20" s="217"/>
      <c r="R20" s="9">
        <f t="shared" si="1"/>
        <v>150</v>
      </c>
      <c r="S20" s="107"/>
      <c r="T20" s="5"/>
      <c r="U20" s="258">
        <v>900</v>
      </c>
      <c r="V20" s="259">
        <f>+U20*0.13</f>
        <v>117</v>
      </c>
      <c r="W20" s="327">
        <f>+V20+U20</f>
        <v>1017</v>
      </c>
      <c r="X20" s="100"/>
      <c r="Y20" s="266"/>
      <c r="Z20" s="282">
        <f t="shared" si="2"/>
        <v>43676</v>
      </c>
      <c r="AA20" s="318">
        <v>1</v>
      </c>
      <c r="AB20" s="281">
        <v>2</v>
      </c>
      <c r="AC20" s="33" t="s">
        <v>152</v>
      </c>
    </row>
    <row r="21" spans="1:29">
      <c r="H21" s="141"/>
      <c r="I21" s="269" t="s">
        <v>270</v>
      </c>
      <c r="J21" s="270" t="s">
        <v>273</v>
      </c>
      <c r="K21" s="271"/>
      <c r="L21" s="272">
        <v>0</v>
      </c>
      <c r="M21" s="354"/>
      <c r="N21" s="353">
        <v>0</v>
      </c>
      <c r="O21" s="271"/>
      <c r="P21" s="272">
        <f t="shared" si="0"/>
        <v>0</v>
      </c>
      <c r="Q21" s="273"/>
      <c r="R21" s="272">
        <f t="shared" si="1"/>
        <v>0</v>
      </c>
      <c r="S21" s="274"/>
      <c r="T21" s="5"/>
      <c r="U21" s="326">
        <f>+V21+W21</f>
        <v>802.83185840707961</v>
      </c>
      <c r="V21" s="256">
        <f>+V20*W21/W20</f>
        <v>82.83185840707965</v>
      </c>
      <c r="W21" s="261">
        <v>720</v>
      </c>
      <c r="X21" s="36" t="s">
        <v>350</v>
      </c>
      <c r="Z21" s="282">
        <f t="shared" si="2"/>
        <v>43677</v>
      </c>
      <c r="AA21" s="318"/>
      <c r="AB21" s="281"/>
      <c r="AC21" s="33" t="s">
        <v>153</v>
      </c>
    </row>
    <row r="22" spans="1:29">
      <c r="A22" s="215"/>
      <c r="H22" s="142"/>
      <c r="I22" s="25" t="s">
        <v>4</v>
      </c>
      <c r="J22" s="81" t="s">
        <v>111</v>
      </c>
      <c r="K22" s="228"/>
      <c r="L22" s="227">
        <v>0</v>
      </c>
      <c r="M22" s="354"/>
      <c r="N22" s="353">
        <f>+M22*3</f>
        <v>0</v>
      </c>
      <c r="O22" s="28">
        <v>29</v>
      </c>
      <c r="P22" s="75">
        <f t="shared" si="0"/>
        <v>150</v>
      </c>
      <c r="Q22" s="218"/>
      <c r="R22" s="11">
        <f t="shared" si="1"/>
        <v>150</v>
      </c>
      <c r="S22" s="107"/>
      <c r="T22" s="5"/>
      <c r="U22" s="32">
        <f>+U20-U21</f>
        <v>97.168141592920392</v>
      </c>
      <c r="V22" s="47"/>
      <c r="W22" s="33"/>
      <c r="X22" s="262" t="s">
        <v>59</v>
      </c>
      <c r="Z22" s="282">
        <f t="shared" si="2"/>
        <v>43678</v>
      </c>
      <c r="AA22" s="318"/>
      <c r="AB22" s="281"/>
      <c r="AC22" s="33" t="s">
        <v>154</v>
      </c>
    </row>
    <row r="23" spans="1:29">
      <c r="A23" s="215"/>
      <c r="H23" s="142"/>
      <c r="I23" s="25" t="s">
        <v>9</v>
      </c>
      <c r="J23" s="81" t="s">
        <v>128</v>
      </c>
      <c r="K23" s="228"/>
      <c r="L23" s="227">
        <v>0</v>
      </c>
      <c r="M23" s="354">
        <v>25</v>
      </c>
      <c r="N23" s="353">
        <f>3*M23</f>
        <v>75</v>
      </c>
      <c r="O23" s="28"/>
      <c r="P23" s="75">
        <f t="shared" si="0"/>
        <v>0</v>
      </c>
      <c r="Q23" s="218">
        <f>30+10</f>
        <v>40</v>
      </c>
      <c r="R23" s="11">
        <f t="shared" si="1"/>
        <v>115</v>
      </c>
      <c r="S23" s="107"/>
      <c r="T23" s="5"/>
      <c r="U23" s="34">
        <v>150</v>
      </c>
      <c r="V23" s="38">
        <f>+U23-U22</f>
        <v>52.831858407079608</v>
      </c>
      <c r="W23" s="39" t="s">
        <v>63</v>
      </c>
      <c r="X23" s="263">
        <f>150-V23</f>
        <v>97.168141592920392</v>
      </c>
      <c r="Z23" s="282">
        <f t="shared" si="2"/>
        <v>43679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354">
        <v>21</v>
      </c>
      <c r="N24" s="353">
        <v>0</v>
      </c>
      <c r="O24" s="28"/>
      <c r="P24" s="11">
        <f t="shared" si="0"/>
        <v>0</v>
      </c>
      <c r="Q24" s="218">
        <v>30</v>
      </c>
      <c r="R24" s="11">
        <f t="shared" si="1"/>
        <v>30</v>
      </c>
      <c r="S24" s="241"/>
      <c r="T24" s="5"/>
      <c r="U24" s="10"/>
      <c r="X24" s="37"/>
      <c r="Z24" s="282">
        <f t="shared" si="2"/>
        <v>43680</v>
      </c>
      <c r="AA24" s="318"/>
      <c r="AB24" s="281"/>
      <c r="AC24" s="61"/>
    </row>
    <row r="25" spans="1:29">
      <c r="H25" s="142"/>
      <c r="I25" s="269" t="s">
        <v>328</v>
      </c>
      <c r="J25" s="270" t="s">
        <v>329</v>
      </c>
      <c r="K25" s="271"/>
      <c r="L25" s="272">
        <v>0</v>
      </c>
      <c r="M25" s="354"/>
      <c r="N25" s="353">
        <v>0</v>
      </c>
      <c r="O25" s="271">
        <v>32</v>
      </c>
      <c r="P25" s="272">
        <f t="shared" si="0"/>
        <v>150</v>
      </c>
      <c r="Q25" s="273"/>
      <c r="R25" s="272">
        <f t="shared" si="1"/>
        <v>150</v>
      </c>
      <c r="S25" s="274"/>
      <c r="T25" s="5"/>
      <c r="Z25" s="282">
        <f t="shared" si="2"/>
        <v>43681</v>
      </c>
      <c r="AA25" s="318"/>
      <c r="AB25" s="281"/>
      <c r="AC25" s="61"/>
    </row>
    <row r="26" spans="1:29">
      <c r="A26" s="237"/>
      <c r="B26" s="237"/>
      <c r="C26" s="237"/>
      <c r="D26" s="238"/>
      <c r="E26" s="237"/>
      <c r="F26" s="239"/>
      <c r="G26" s="237"/>
      <c r="H26" s="142"/>
      <c r="I26" s="25" t="s">
        <v>51</v>
      </c>
      <c r="J26" s="96" t="s">
        <v>134</v>
      </c>
      <c r="K26" s="29"/>
      <c r="L26" s="27">
        <f>+K26*3</f>
        <v>0</v>
      </c>
      <c r="M26" s="354"/>
      <c r="N26" s="353">
        <f>+M26*3</f>
        <v>0</v>
      </c>
      <c r="O26" s="28">
        <v>25</v>
      </c>
      <c r="P26" s="11">
        <f t="shared" si="0"/>
        <v>150</v>
      </c>
      <c r="Q26" s="218"/>
      <c r="R26" s="240">
        <f t="shared" si="1"/>
        <v>150</v>
      </c>
      <c r="S26" s="241"/>
      <c r="T26" s="5"/>
      <c r="U26" s="332" t="s">
        <v>382</v>
      </c>
      <c r="Z26" s="282">
        <f t="shared" si="2"/>
        <v>43682</v>
      </c>
      <c r="AA26" s="318"/>
      <c r="AB26" s="281"/>
      <c r="AC26" s="65"/>
    </row>
    <row r="27" spans="1:29">
      <c r="A27" s="215"/>
      <c r="H27" s="142"/>
      <c r="I27" s="25" t="s">
        <v>61</v>
      </c>
      <c r="J27" s="96" t="s">
        <v>137</v>
      </c>
      <c r="K27" s="28"/>
      <c r="L27" s="11">
        <f>3*K27</f>
        <v>0</v>
      </c>
      <c r="M27" s="28">
        <v>21</v>
      </c>
      <c r="N27" s="11">
        <f>3*M27</f>
        <v>63</v>
      </c>
      <c r="O27" s="28"/>
      <c r="P27" s="11">
        <f t="shared" si="0"/>
        <v>0</v>
      </c>
      <c r="Q27" s="218">
        <v>30</v>
      </c>
      <c r="R27" s="361">
        <f t="shared" si="1"/>
        <v>93</v>
      </c>
      <c r="S27" s="241"/>
      <c r="T27" s="5"/>
      <c r="Z27" s="282">
        <f t="shared" si="2"/>
        <v>43683</v>
      </c>
      <c r="AA27" s="319"/>
      <c r="AB27" s="281"/>
      <c r="AC27" s="66"/>
    </row>
    <row r="28" spans="1:29">
      <c r="A28" s="215"/>
      <c r="H28" s="95"/>
      <c r="I28" s="25" t="s">
        <v>14</v>
      </c>
      <c r="J28" s="81" t="s">
        <v>125</v>
      </c>
      <c r="K28" s="228"/>
      <c r="L28" s="227">
        <f>+K28*3</f>
        <v>0</v>
      </c>
      <c r="M28" s="354">
        <v>22</v>
      </c>
      <c r="N28" s="353">
        <f>3*M28</f>
        <v>66</v>
      </c>
      <c r="O28" s="28"/>
      <c r="P28" s="75">
        <f t="shared" si="0"/>
        <v>0</v>
      </c>
      <c r="Q28" s="218">
        <v>30</v>
      </c>
      <c r="R28" s="11">
        <f t="shared" si="1"/>
        <v>96</v>
      </c>
      <c r="S28" s="107"/>
      <c r="T28" s="5"/>
      <c r="U28" s="287" t="s">
        <v>347</v>
      </c>
      <c r="Z28" s="314" t="s">
        <v>150</v>
      </c>
      <c r="AA28" s="315">
        <f>SUM(AA17:AA27)</f>
        <v>4</v>
      </c>
      <c r="AB28" s="316" t="s">
        <v>148</v>
      </c>
      <c r="AC28" s="68"/>
    </row>
    <row r="29" spans="1:29">
      <c r="A29" s="215"/>
      <c r="H29" s="83"/>
      <c r="I29" s="126" t="s">
        <v>79</v>
      </c>
      <c r="J29" s="82" t="s">
        <v>110</v>
      </c>
      <c r="K29" s="228"/>
      <c r="L29" s="227">
        <v>0</v>
      </c>
      <c r="M29" s="354"/>
      <c r="N29" s="353">
        <v>0</v>
      </c>
      <c r="O29" s="76">
        <v>28</v>
      </c>
      <c r="P29" s="75">
        <f t="shared" si="0"/>
        <v>150</v>
      </c>
      <c r="Q29" s="217"/>
      <c r="R29" s="11">
        <f t="shared" si="1"/>
        <v>150</v>
      </c>
      <c r="S29" s="106"/>
      <c r="T29" s="5"/>
      <c r="Z29" s="184"/>
      <c r="AA29" s="171">
        <f>SUM(AB17:AB27)</f>
        <v>15</v>
      </c>
      <c r="AB29" s="185" t="s">
        <v>149</v>
      </c>
      <c r="AC29" s="69"/>
    </row>
    <row r="30" spans="1:29" ht="16.5">
      <c r="H30" s="83"/>
      <c r="I30" s="269" t="s">
        <v>214</v>
      </c>
      <c r="J30" s="270" t="s">
        <v>215</v>
      </c>
      <c r="K30" s="271"/>
      <c r="L30" s="272">
        <v>0</v>
      </c>
      <c r="M30" s="354">
        <v>19</v>
      </c>
      <c r="N30" s="353">
        <v>0</v>
      </c>
      <c r="O30" s="271"/>
      <c r="P30" s="272">
        <f t="shared" si="0"/>
        <v>0</v>
      </c>
      <c r="Q30" s="273">
        <f>30+10</f>
        <v>40</v>
      </c>
      <c r="R30" s="272">
        <f t="shared" si="1"/>
        <v>40</v>
      </c>
      <c r="S30" s="274"/>
      <c r="T30" s="5"/>
      <c r="Z30" s="186" t="s">
        <v>160</v>
      </c>
      <c r="AA30" s="284">
        <f>+AA29/AA28</f>
        <v>3.75</v>
      </c>
      <c r="AB30" s="173" t="s">
        <v>150</v>
      </c>
      <c r="AC30" s="65"/>
    </row>
    <row r="31" spans="1:29">
      <c r="A31" s="237"/>
      <c r="B31" s="237"/>
      <c r="C31" s="237"/>
      <c r="D31" s="238"/>
      <c r="E31" s="237"/>
      <c r="F31" s="239"/>
      <c r="G31" s="237"/>
      <c r="H31" s="142"/>
      <c r="I31" s="25" t="s">
        <v>45</v>
      </c>
      <c r="J31" s="96" t="s">
        <v>133</v>
      </c>
      <c r="K31" s="29"/>
      <c r="L31" s="27">
        <f>+K31*3</f>
        <v>0</v>
      </c>
      <c r="M31" s="354"/>
      <c r="N31" s="353">
        <f>+M31*3</f>
        <v>0</v>
      </c>
      <c r="O31" s="28">
        <v>22</v>
      </c>
      <c r="P31" s="11">
        <f t="shared" si="0"/>
        <v>132</v>
      </c>
      <c r="Q31" s="218"/>
      <c r="R31" s="240">
        <f t="shared" si="1"/>
        <v>132</v>
      </c>
      <c r="S31" s="241"/>
      <c r="T31" s="5"/>
      <c r="V31" s="46">
        <v>18</v>
      </c>
    </row>
    <row r="32" spans="1:29">
      <c r="A32" s="215"/>
      <c r="H32" s="142"/>
      <c r="I32" s="25" t="s">
        <v>13</v>
      </c>
      <c r="J32" s="81" t="s">
        <v>319</v>
      </c>
      <c r="K32" s="228"/>
      <c r="L32" s="227">
        <f>3*K32</f>
        <v>0</v>
      </c>
      <c r="M32" s="354">
        <v>31</v>
      </c>
      <c r="N32" s="353">
        <f>5*M32</f>
        <v>155</v>
      </c>
      <c r="O32" s="28"/>
      <c r="P32" s="75">
        <f t="shared" si="0"/>
        <v>0</v>
      </c>
      <c r="Q32" s="218">
        <v>30</v>
      </c>
      <c r="R32" s="57">
        <f t="shared" si="1"/>
        <v>185</v>
      </c>
      <c r="S32" s="107"/>
      <c r="T32" s="5"/>
      <c r="V32" s="46">
        <v>25</v>
      </c>
    </row>
    <row r="33" spans="1:32">
      <c r="A33" s="215"/>
      <c r="H33" s="95"/>
      <c r="I33" s="25" t="s">
        <v>31</v>
      </c>
      <c r="J33" s="81" t="s">
        <v>127</v>
      </c>
      <c r="K33" s="228"/>
      <c r="L33" s="227">
        <v>0</v>
      </c>
      <c r="M33" s="354">
        <v>10</v>
      </c>
      <c r="N33" s="353">
        <v>0</v>
      </c>
      <c r="O33" s="28">
        <v>1</v>
      </c>
      <c r="P33" s="75">
        <f t="shared" si="0"/>
        <v>6</v>
      </c>
      <c r="Q33" s="218">
        <v>30</v>
      </c>
      <c r="R33" s="11">
        <f t="shared" si="1"/>
        <v>36</v>
      </c>
      <c r="S33" s="107"/>
      <c r="T33" s="5"/>
      <c r="V33" s="46">
        <v>5</v>
      </c>
    </row>
    <row r="34" spans="1:32" s="4" customFormat="1">
      <c r="A34" s="215"/>
      <c r="B34"/>
      <c r="C34"/>
      <c r="D34" s="1"/>
      <c r="E34"/>
      <c r="F34" s="2"/>
      <c r="G34"/>
      <c r="H34" s="95"/>
      <c r="I34" s="25" t="s">
        <v>30</v>
      </c>
      <c r="J34" s="81" t="s">
        <v>126</v>
      </c>
      <c r="K34" s="228"/>
      <c r="L34" s="227">
        <f>+K34*3</f>
        <v>0</v>
      </c>
      <c r="M34" s="354"/>
      <c r="N34" s="353">
        <f>+M34*3</f>
        <v>0</v>
      </c>
      <c r="O34" s="28">
        <v>33</v>
      </c>
      <c r="P34" s="75">
        <f t="shared" si="0"/>
        <v>150</v>
      </c>
      <c r="Q34" s="218"/>
      <c r="R34" s="320">
        <f t="shared" si="1"/>
        <v>150</v>
      </c>
      <c r="S34" s="107"/>
      <c r="T34" s="5"/>
      <c r="U34"/>
      <c r="V34" s="46">
        <v>25</v>
      </c>
      <c r="W34"/>
      <c r="X34"/>
      <c r="Y34"/>
      <c r="Z34"/>
      <c r="AA34"/>
      <c r="AB34"/>
      <c r="AC34"/>
      <c r="AD34"/>
      <c r="AE34"/>
      <c r="AF34"/>
    </row>
    <row r="35" spans="1:32">
      <c r="A35" s="215"/>
      <c r="H35" s="83"/>
      <c r="I35" s="269" t="s">
        <v>186</v>
      </c>
      <c r="J35" s="270" t="s">
        <v>187</v>
      </c>
      <c r="K35" s="271"/>
      <c r="L35" s="272">
        <v>0</v>
      </c>
      <c r="M35" s="354"/>
      <c r="N35" s="353">
        <v>0</v>
      </c>
      <c r="O35" s="271"/>
      <c r="P35" s="272">
        <f t="shared" si="0"/>
        <v>0</v>
      </c>
      <c r="Q35" s="273"/>
      <c r="R35" s="272">
        <f t="shared" si="1"/>
        <v>0</v>
      </c>
      <c r="S35" s="274"/>
      <c r="T35" s="5"/>
      <c r="V35" s="46">
        <v>21</v>
      </c>
    </row>
    <row r="36" spans="1:32">
      <c r="A36" s="215"/>
      <c r="H36" s="83"/>
      <c r="I36" s="25" t="s">
        <v>17</v>
      </c>
      <c r="J36" s="81" t="s">
        <v>123</v>
      </c>
      <c r="K36" s="228"/>
      <c r="L36" s="227">
        <f>+K36*3</f>
        <v>0</v>
      </c>
      <c r="M36" s="354"/>
      <c r="N36" s="353">
        <v>0</v>
      </c>
      <c r="O36" s="74">
        <v>29</v>
      </c>
      <c r="P36" s="75">
        <f t="shared" si="0"/>
        <v>150</v>
      </c>
      <c r="Q36" s="218"/>
      <c r="R36" s="11">
        <f t="shared" si="1"/>
        <v>150</v>
      </c>
      <c r="S36" s="107"/>
      <c r="T36" s="5"/>
      <c r="V36" s="46">
        <v>22</v>
      </c>
    </row>
    <row r="37" spans="1:32">
      <c r="A37" s="215"/>
      <c r="H37" s="83"/>
      <c r="I37" s="25" t="s">
        <v>60</v>
      </c>
      <c r="J37" s="81" t="s">
        <v>132</v>
      </c>
      <c r="K37" s="228"/>
      <c r="L37" s="227">
        <v>0</v>
      </c>
      <c r="M37" s="354"/>
      <c r="N37" s="353">
        <v>0</v>
      </c>
      <c r="O37" s="74"/>
      <c r="P37" s="75">
        <f>IF(O37&gt;25,150,(O37)*6)</f>
        <v>0</v>
      </c>
      <c r="Q37" s="218"/>
      <c r="R37" s="11">
        <f>+L37+N37+P37+Q37</f>
        <v>0</v>
      </c>
      <c r="S37" s="107"/>
      <c r="T37" s="5"/>
      <c r="V37" s="46">
        <v>21</v>
      </c>
    </row>
    <row r="38" spans="1:32">
      <c r="H38" s="142"/>
      <c r="I38" s="25" t="s">
        <v>233</v>
      </c>
      <c r="J38" s="81" t="s">
        <v>234</v>
      </c>
      <c r="K38" s="228"/>
      <c r="L38" s="227">
        <v>0</v>
      </c>
      <c r="M38" s="354">
        <v>23</v>
      </c>
      <c r="N38" s="353">
        <f>3*M38</f>
        <v>69</v>
      </c>
      <c r="O38" s="28"/>
      <c r="P38" s="75">
        <f t="shared" si="0"/>
        <v>0</v>
      </c>
      <c r="Q38" s="279">
        <f>30+10</f>
        <v>40</v>
      </c>
      <c r="R38" s="57">
        <f t="shared" si="1"/>
        <v>109</v>
      </c>
      <c r="S38" s="107"/>
      <c r="T38" s="5"/>
      <c r="V38" s="46">
        <v>19</v>
      </c>
      <c r="AF38" s="4"/>
    </row>
    <row r="39" spans="1:32">
      <c r="A39" s="215"/>
      <c r="H39" s="95"/>
      <c r="I39" s="25" t="s">
        <v>8</v>
      </c>
      <c r="J39" s="81" t="s">
        <v>120</v>
      </c>
      <c r="K39" s="228"/>
      <c r="L39" s="227">
        <v>0</v>
      </c>
      <c r="M39" s="354"/>
      <c r="N39" s="353">
        <v>0</v>
      </c>
      <c r="O39" s="28">
        <v>25</v>
      </c>
      <c r="P39" s="75">
        <f t="shared" si="0"/>
        <v>150</v>
      </c>
      <c r="Q39" s="218"/>
      <c r="R39" s="11">
        <f t="shared" si="1"/>
        <v>150</v>
      </c>
      <c r="S39" s="107"/>
      <c r="T39" s="5"/>
      <c r="V39" s="46">
        <v>31</v>
      </c>
    </row>
    <row r="40" spans="1:32">
      <c r="A40" s="215"/>
      <c r="H40" s="242" t="s">
        <v>170</v>
      </c>
      <c r="I40" s="188" t="s">
        <v>11</v>
      </c>
      <c r="J40" s="189" t="s">
        <v>130</v>
      </c>
      <c r="K40" s="192"/>
      <c r="L40" s="193">
        <f>+K40*3</f>
        <v>0</v>
      </c>
      <c r="M40" s="192"/>
      <c r="N40" s="193">
        <f>+M40*3</f>
        <v>0</v>
      </c>
      <c r="O40" s="192">
        <v>35</v>
      </c>
      <c r="P40" s="193">
        <f t="shared" si="0"/>
        <v>150</v>
      </c>
      <c r="Q40" s="221"/>
      <c r="R40" s="193">
        <f t="shared" si="1"/>
        <v>150</v>
      </c>
      <c r="S40" s="197"/>
      <c r="T40" s="5"/>
      <c r="V40" s="46">
        <v>10</v>
      </c>
    </row>
    <row r="41" spans="1:32">
      <c r="H41" s="83"/>
      <c r="I41" s="25" t="s">
        <v>44</v>
      </c>
      <c r="J41" s="96" t="s">
        <v>124</v>
      </c>
      <c r="K41" s="228"/>
      <c r="L41" s="227">
        <f>+K41*3</f>
        <v>0</v>
      </c>
      <c r="M41" s="354"/>
      <c r="N41" s="353">
        <f>+M41*3</f>
        <v>0</v>
      </c>
      <c r="O41" s="113"/>
      <c r="P41" s="75">
        <f t="shared" si="0"/>
        <v>0</v>
      </c>
      <c r="Q41" s="218"/>
      <c r="R41" s="11">
        <f t="shared" si="1"/>
        <v>0</v>
      </c>
      <c r="S41" s="107"/>
      <c r="T41" s="5"/>
      <c r="V41" s="46">
        <v>23</v>
      </c>
    </row>
    <row r="42" spans="1:32">
      <c r="H42" s="83"/>
      <c r="I42" s="25" t="s">
        <v>6</v>
      </c>
      <c r="J42" s="96" t="s">
        <v>116</v>
      </c>
      <c r="K42" s="228"/>
      <c r="L42" s="227">
        <f>+K42*3</f>
        <v>0</v>
      </c>
      <c r="M42" s="354"/>
      <c r="N42" s="353">
        <f>+M42*3</f>
        <v>0</v>
      </c>
      <c r="O42" s="74">
        <v>21</v>
      </c>
      <c r="P42" s="75">
        <f t="shared" si="0"/>
        <v>126</v>
      </c>
      <c r="Q42" s="220"/>
      <c r="R42" s="11">
        <f t="shared" si="1"/>
        <v>126</v>
      </c>
      <c r="S42" s="107"/>
      <c r="T42" s="5"/>
      <c r="V42" s="46">
        <f>SUM(V31:V41)</f>
        <v>220</v>
      </c>
    </row>
    <row r="43" spans="1:32">
      <c r="H43" s="95"/>
      <c r="I43" s="25" t="s">
        <v>53</v>
      </c>
      <c r="J43" s="81" t="s">
        <v>135</v>
      </c>
      <c r="K43" s="228"/>
      <c r="L43" s="227">
        <v>0</v>
      </c>
      <c r="M43" s="354"/>
      <c r="N43" s="353">
        <v>0</v>
      </c>
      <c r="O43" s="28">
        <v>27</v>
      </c>
      <c r="P43" s="75">
        <f t="shared" si="0"/>
        <v>150</v>
      </c>
      <c r="Q43" s="218"/>
      <c r="R43" s="11">
        <f t="shared" si="1"/>
        <v>150</v>
      </c>
      <c r="S43" s="107"/>
      <c r="T43" s="5"/>
    </row>
    <row r="44" spans="1:32">
      <c r="H44" s="81"/>
      <c r="I44" s="120" t="s">
        <v>12</v>
      </c>
      <c r="J44" s="121" t="s">
        <v>114</v>
      </c>
      <c r="K44" s="122"/>
      <c r="L44" s="15">
        <v>0</v>
      </c>
      <c r="M44" s="122"/>
      <c r="N44" s="15">
        <f>3*M44</f>
        <v>0</v>
      </c>
      <c r="O44" s="122">
        <v>30</v>
      </c>
      <c r="P44" s="15">
        <f t="shared" si="0"/>
        <v>150</v>
      </c>
      <c r="Q44" s="222"/>
      <c r="R44" s="362">
        <f t="shared" si="1"/>
        <v>150</v>
      </c>
      <c r="S44" s="363"/>
      <c r="T44" s="5"/>
    </row>
    <row r="45" spans="1:32">
      <c r="I45" s="13"/>
      <c r="J45" s="14"/>
      <c r="K45" s="234">
        <f t="shared" ref="K45:S45" si="3">SUM(K5:K44)</f>
        <v>0</v>
      </c>
      <c r="L45" s="235">
        <f t="shared" si="3"/>
        <v>0</v>
      </c>
      <c r="M45" s="359">
        <f t="shared" si="3"/>
        <v>220</v>
      </c>
      <c r="N45" s="360">
        <f t="shared" si="3"/>
        <v>503</v>
      </c>
      <c r="O45" s="77">
        <f t="shared" si="3"/>
        <v>580</v>
      </c>
      <c r="P45" s="78">
        <f t="shared" si="3"/>
        <v>2958</v>
      </c>
      <c r="Q45" s="323">
        <f t="shared" si="3"/>
        <v>350</v>
      </c>
      <c r="R45" s="78">
        <f t="shared" si="3"/>
        <v>3811</v>
      </c>
      <c r="S45" s="102">
        <f t="shared" si="3"/>
        <v>0</v>
      </c>
      <c r="T45" s="5"/>
    </row>
    <row r="46" spans="1:32">
      <c r="J46" s="200">
        <f ca="1">TODAY()</f>
        <v>43825</v>
      </c>
      <c r="K46" s="41"/>
      <c r="M46" s="42"/>
      <c r="N46" s="41"/>
      <c r="O46" s="45" t="s">
        <v>81</v>
      </c>
      <c r="Q46" s="42"/>
      <c r="R46" s="45">
        <f>+R8+R10+R11+R13+R16+R40</f>
        <v>490</v>
      </c>
      <c r="T46" s="5"/>
      <c r="AC46">
        <v>4</v>
      </c>
    </row>
    <row r="47" spans="1:32" ht="15" customHeight="1">
      <c r="L47" s="43"/>
      <c r="M47" s="44"/>
      <c r="N47" s="125"/>
      <c r="O47" s="43" t="s">
        <v>91</v>
      </c>
      <c r="P47" s="114">
        <v>2622</v>
      </c>
      <c r="Q47" s="110" t="s">
        <v>58</v>
      </c>
      <c r="R47" s="111">
        <f>+R45-R46</f>
        <v>3321</v>
      </c>
      <c r="S47" s="10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24" t="s">
        <v>338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25" t="s">
        <v>339</v>
      </c>
      <c r="P50" s="19"/>
      <c r="T50" s="5"/>
    </row>
    <row r="51" spans="9:29">
      <c r="I51" s="324" t="s">
        <v>429</v>
      </c>
      <c r="P51" s="19"/>
      <c r="T51" s="5"/>
    </row>
    <row r="52" spans="9:29">
      <c r="I52" s="324" t="s">
        <v>430</v>
      </c>
      <c r="P52" s="19"/>
      <c r="T52" s="5"/>
      <c r="V52" s="59"/>
      <c r="W52" s="60"/>
      <c r="X52" s="61"/>
    </row>
    <row r="53" spans="9:29">
      <c r="I53" s="324" t="s">
        <v>431</v>
      </c>
      <c r="P53" s="19"/>
      <c r="U53" s="58"/>
      <c r="V53" s="59"/>
      <c r="W53" s="60"/>
      <c r="X53" s="61"/>
    </row>
    <row r="54" spans="9:29">
      <c r="I54" s="324" t="s">
        <v>432</v>
      </c>
      <c r="U54" s="58"/>
      <c r="V54" s="59"/>
      <c r="W54" s="62"/>
      <c r="X54" s="65"/>
    </row>
    <row r="55" spans="9:29">
      <c r="I55" s="324" t="s">
        <v>433</v>
      </c>
      <c r="U55" s="58"/>
      <c r="V55" s="59"/>
      <c r="W55" s="67"/>
      <c r="X55" s="60"/>
    </row>
    <row r="56" spans="9:29">
      <c r="I56" s="324" t="s">
        <v>343</v>
      </c>
      <c r="U56" s="58"/>
      <c r="V56" s="59"/>
      <c r="W56" s="60"/>
      <c r="X56" s="60"/>
    </row>
    <row r="57" spans="9:29">
      <c r="U57" s="58"/>
      <c r="V57" s="59"/>
      <c r="W57" s="60"/>
      <c r="X57" s="69"/>
    </row>
    <row r="58" spans="9:29">
      <c r="U58" s="58"/>
      <c r="V58" s="59"/>
      <c r="W58" s="60"/>
      <c r="X58" s="60"/>
    </row>
    <row r="59" spans="9:29">
      <c r="U59" s="58"/>
      <c r="V59" s="59"/>
      <c r="W59" s="60"/>
      <c r="X59" s="60"/>
    </row>
    <row r="60" spans="9:29">
      <c r="U60" s="58"/>
      <c r="V60" s="59"/>
      <c r="W60" s="62"/>
      <c r="X60" s="60"/>
    </row>
    <row r="61" spans="9:29">
      <c r="U61" s="58"/>
      <c r="V61" s="59"/>
      <c r="W61" s="62"/>
      <c r="X61" s="60"/>
    </row>
    <row r="62" spans="9:29">
      <c r="U62" s="64"/>
      <c r="V62" s="59"/>
      <c r="W62" s="60"/>
      <c r="X62" s="60"/>
    </row>
    <row r="63" spans="9:29">
      <c r="U63" s="58"/>
      <c r="V63" s="66"/>
      <c r="W63" s="67"/>
      <c r="X63" s="60"/>
    </row>
    <row r="64" spans="9:29">
      <c r="U64" s="60"/>
      <c r="V64" s="59"/>
      <c r="W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  <row r="68" spans="21:23">
      <c r="U68" s="60"/>
      <c r="V68" s="59"/>
      <c r="W68" s="60"/>
    </row>
    <row r="69" spans="21:23">
      <c r="U69" s="60"/>
      <c r="V69" s="59"/>
      <c r="W69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100" priority="4" operator="lessThanOrEqual">
      <formula>0</formula>
    </cfRule>
  </conditionalFormatting>
  <conditionalFormatting sqref="R5:R44">
    <cfRule type="cellIs" dxfId="99" priority="3" operator="greaterThan">
      <formula>0</formula>
    </cfRule>
  </conditionalFormatting>
  <printOptions horizontalCentered="1"/>
  <pageMargins left="0" right="0" top="0.47244094488188981" bottom="0" header="0" footer="0"/>
  <pageSetup paperSize="9" scale="98" orientation="portrait" r:id="rId1"/>
  <ignoredErrors>
    <ignoredError sqref="L19:N19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70"/>
  <sheetViews>
    <sheetView zoomScale="85" zoomScaleNormal="85" workbookViewId="0">
      <pane xSplit="10" ySplit="4" topLeftCell="K45" activePane="bottomRight" state="frozen"/>
      <selection pane="topRight" activeCell="K1" sqref="K1"/>
      <selection pane="bottomLeft" activeCell="A5" sqref="A5"/>
      <selection pane="bottomRight" activeCell="O45" sqref="O4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.7109375" customWidth="1"/>
    <col min="9" max="9" width="7.42578125" customWidth="1"/>
    <col min="10" max="10" width="25.7109375" customWidth="1"/>
    <col min="11" max="11" width="1.7109375" customWidth="1"/>
    <col min="12" max="12" width="1.5703125" customWidth="1"/>
    <col min="13" max="13" width="5.7109375" customWidth="1"/>
    <col min="14" max="14" width="9.7109375" customWidth="1"/>
    <col min="15" max="15" width="6.85546875" customWidth="1"/>
    <col min="16" max="16" width="12.140625" customWidth="1"/>
    <col min="17" max="17" width="7.7109375" customWidth="1"/>
    <col min="18" max="18" width="15.7109375" customWidth="1"/>
    <col min="19" max="19" width="3.7109375" style="103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 ht="14.1" customHeight="1">
      <c r="H2" s="83"/>
      <c r="I2" s="429" t="s">
        <v>412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351" t="s">
        <v>15</v>
      </c>
      <c r="N4" s="351" t="s">
        <v>413</v>
      </c>
      <c r="O4" s="87" t="s">
        <v>15</v>
      </c>
      <c r="P4" s="87" t="s">
        <v>414</v>
      </c>
      <c r="Q4" s="99" t="s">
        <v>415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352"/>
      <c r="N5" s="353">
        <v>0</v>
      </c>
      <c r="O5" s="76">
        <v>30</v>
      </c>
      <c r="P5" s="75">
        <f t="shared" ref="P5:P44" si="0">IF(O5&gt;25,150,(O5)*6)</f>
        <v>150</v>
      </c>
      <c r="Q5" s="217"/>
      <c r="R5" s="11">
        <f t="shared" ref="R5:R44" si="1">+L5+N5+P5+Q5</f>
        <v>150</v>
      </c>
      <c r="S5" s="106"/>
      <c r="T5" s="5"/>
      <c r="U5" s="258">
        <v>815.2</v>
      </c>
      <c r="V5" s="259">
        <v>94</v>
      </c>
      <c r="W5" s="260">
        <v>721.2</v>
      </c>
      <c r="X5" s="333" t="s">
        <v>215</v>
      </c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352"/>
      <c r="N6" s="35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26">
        <f>+V6+W6</f>
        <v>813.84359400998335</v>
      </c>
      <c r="V6" s="256">
        <f>+V5*W6/W5</f>
        <v>93.843594009983349</v>
      </c>
      <c r="W6" s="261">
        <v>720</v>
      </c>
      <c r="X6" s="334" t="s">
        <v>381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354"/>
      <c r="N7" s="353">
        <v>0</v>
      </c>
      <c r="O7" s="74">
        <v>29</v>
      </c>
      <c r="P7" s="75">
        <f t="shared" si="0"/>
        <v>150</v>
      </c>
      <c r="Q7" s="218"/>
      <c r="R7" s="9">
        <f t="shared" si="1"/>
        <v>150</v>
      </c>
      <c r="S7" s="106"/>
      <c r="T7" s="5"/>
      <c r="U7" s="32">
        <f>+U5-U6+0.01</f>
        <v>1.3664059900166967</v>
      </c>
      <c r="V7" s="47"/>
      <c r="W7" s="33"/>
      <c r="X7" s="262" t="s">
        <v>59</v>
      </c>
    </row>
    <row r="8" spans="8:29">
      <c r="H8" s="251" t="s">
        <v>50</v>
      </c>
      <c r="I8" s="275" t="s">
        <v>387</v>
      </c>
      <c r="J8" s="276" t="s">
        <v>388</v>
      </c>
      <c r="K8" s="277"/>
      <c r="L8" s="278">
        <v>0</v>
      </c>
      <c r="M8" s="355">
        <v>19</v>
      </c>
      <c r="N8" s="356">
        <v>0</v>
      </c>
      <c r="O8" s="277"/>
      <c r="P8" s="278">
        <f t="shared" si="0"/>
        <v>0</v>
      </c>
      <c r="Q8" s="279"/>
      <c r="R8" s="278">
        <f t="shared" si="1"/>
        <v>0</v>
      </c>
      <c r="S8" s="280"/>
      <c r="T8" s="5"/>
      <c r="U8" s="34">
        <v>150</v>
      </c>
      <c r="V8" s="335">
        <f>+U8-U7</f>
        <v>148.63359400998331</v>
      </c>
      <c r="W8" s="39" t="s">
        <v>63</v>
      </c>
      <c r="X8" s="263">
        <f>150-V8</f>
        <v>1.3664059900166876</v>
      </c>
    </row>
    <row r="9" spans="8:29">
      <c r="H9" s="83"/>
      <c r="I9" s="25" t="s">
        <v>2</v>
      </c>
      <c r="J9" s="81" t="s">
        <v>107</v>
      </c>
      <c r="K9" s="228"/>
      <c r="L9" s="227">
        <f>+K9*3</f>
        <v>0</v>
      </c>
      <c r="M9" s="354"/>
      <c r="N9" s="353">
        <f>+M9*3</f>
        <v>0</v>
      </c>
      <c r="O9" s="74">
        <v>42</v>
      </c>
      <c r="P9" s="75">
        <f t="shared" si="0"/>
        <v>150</v>
      </c>
      <c r="Q9" s="218"/>
      <c r="R9" s="9">
        <f t="shared" si="1"/>
        <v>150</v>
      </c>
      <c r="S9" s="138"/>
      <c r="T9" s="5"/>
      <c r="U9" s="10"/>
      <c r="X9" s="37"/>
    </row>
    <row r="10" spans="8:29" ht="15" customHeight="1">
      <c r="H10" s="95"/>
      <c r="I10" s="25" t="s">
        <v>42</v>
      </c>
      <c r="J10" s="81" t="s">
        <v>119</v>
      </c>
      <c r="K10" s="228"/>
      <c r="L10" s="227">
        <f>+K10*3</f>
        <v>0</v>
      </c>
      <c r="M10" s="354"/>
      <c r="N10" s="353">
        <f>+M10*3</f>
        <v>0</v>
      </c>
      <c r="O10" s="28"/>
      <c r="P10" s="75">
        <f t="shared" si="0"/>
        <v>0</v>
      </c>
      <c r="Q10" s="218"/>
      <c r="R10" s="11">
        <f t="shared" si="1"/>
        <v>0</v>
      </c>
      <c r="S10" s="107"/>
      <c r="T10" s="5"/>
      <c r="U10" s="258">
        <v>988</v>
      </c>
      <c r="V10" s="259">
        <v>118.76</v>
      </c>
      <c r="W10" s="260">
        <v>869.24</v>
      </c>
      <c r="X10" s="333" t="s">
        <v>349</v>
      </c>
      <c r="Y10" s="266"/>
    </row>
    <row r="11" spans="8:29">
      <c r="H11" s="251" t="s">
        <v>50</v>
      </c>
      <c r="I11" s="275" t="s">
        <v>1</v>
      </c>
      <c r="J11" s="276" t="s">
        <v>106</v>
      </c>
      <c r="K11" s="277"/>
      <c r="L11" s="278">
        <f>3*K11</f>
        <v>0</v>
      </c>
      <c r="M11" s="355"/>
      <c r="N11" s="356">
        <f>3*M11</f>
        <v>0</v>
      </c>
      <c r="O11" s="277"/>
      <c r="P11" s="278">
        <f t="shared" si="0"/>
        <v>0</v>
      </c>
      <c r="Q11" s="279"/>
      <c r="R11" s="278">
        <f t="shared" si="1"/>
        <v>0</v>
      </c>
      <c r="S11" s="280"/>
      <c r="T11" s="5"/>
      <c r="U11" s="326">
        <f>+V11+W11</f>
        <v>935.44245547834896</v>
      </c>
      <c r="V11" s="256">
        <f>+V10*W11/W10</f>
        <v>112.44245547834892</v>
      </c>
      <c r="W11" s="261">
        <v>823</v>
      </c>
      <c r="X11" s="334" t="s">
        <v>348</v>
      </c>
    </row>
    <row r="12" spans="8:29">
      <c r="H12" s="95"/>
      <c r="I12" s="25" t="s">
        <v>56</v>
      </c>
      <c r="J12" s="81" t="s">
        <v>136</v>
      </c>
      <c r="K12" s="228"/>
      <c r="L12" s="227">
        <v>0</v>
      </c>
      <c r="M12" s="354"/>
      <c r="N12" s="353">
        <f>2.7*M12</f>
        <v>0</v>
      </c>
      <c r="O12" s="28"/>
      <c r="P12" s="75">
        <f t="shared" si="0"/>
        <v>0</v>
      </c>
      <c r="Q12" s="218"/>
      <c r="R12" s="11">
        <f t="shared" si="1"/>
        <v>0</v>
      </c>
      <c r="S12" s="107"/>
      <c r="T12" s="5"/>
      <c r="U12" s="32">
        <f>+U10-U11</f>
        <v>52.557544521651039</v>
      </c>
      <c r="V12" s="47"/>
      <c r="W12" s="33"/>
      <c r="X12" s="262" t="s">
        <v>59</v>
      </c>
    </row>
    <row r="13" spans="8:29">
      <c r="H13" s="95"/>
      <c r="I13" s="25" t="s">
        <v>16</v>
      </c>
      <c r="J13" s="81" t="s">
        <v>113</v>
      </c>
      <c r="K13" s="228"/>
      <c r="L13" s="227">
        <v>0</v>
      </c>
      <c r="M13" s="354"/>
      <c r="N13" s="353">
        <v>0</v>
      </c>
      <c r="O13" s="28">
        <v>27</v>
      </c>
      <c r="P13" s="75">
        <f t="shared" si="0"/>
        <v>150</v>
      </c>
      <c r="Q13" s="218"/>
      <c r="R13" s="9">
        <f t="shared" si="1"/>
        <v>150</v>
      </c>
      <c r="S13" s="106"/>
      <c r="T13" s="5"/>
      <c r="U13" s="34">
        <v>150</v>
      </c>
      <c r="V13" s="38">
        <f>+U13-U12</f>
        <v>97.442455478348961</v>
      </c>
      <c r="W13" s="39" t="s">
        <v>63</v>
      </c>
      <c r="X13" s="263">
        <f>150-V13</f>
        <v>52.557544521651039</v>
      </c>
    </row>
    <row r="14" spans="8:29">
      <c r="H14" s="83"/>
      <c r="I14" s="25" t="s">
        <v>92</v>
      </c>
      <c r="J14" s="81" t="s">
        <v>109</v>
      </c>
      <c r="K14" s="228"/>
      <c r="L14" s="227">
        <v>0</v>
      </c>
      <c r="M14" s="354"/>
      <c r="N14" s="353">
        <v>0</v>
      </c>
      <c r="O14" s="74"/>
      <c r="P14" s="75">
        <f t="shared" si="0"/>
        <v>0</v>
      </c>
      <c r="Q14" s="217"/>
      <c r="R14" s="9">
        <f t="shared" si="1"/>
        <v>0</v>
      </c>
      <c r="S14" s="107"/>
      <c r="T14" s="5"/>
      <c r="U14" s="10"/>
      <c r="X14" s="37"/>
    </row>
    <row r="15" spans="8:29">
      <c r="H15" s="83"/>
      <c r="I15" s="25" t="s">
        <v>20</v>
      </c>
      <c r="J15" s="81" t="s">
        <v>195</v>
      </c>
      <c r="K15" s="228"/>
      <c r="L15" s="227">
        <f>+K15*3</f>
        <v>0</v>
      </c>
      <c r="M15" s="354"/>
      <c r="N15" s="353">
        <f>+M15*3</f>
        <v>0</v>
      </c>
      <c r="O15" s="74">
        <v>30</v>
      </c>
      <c r="P15" s="75">
        <f t="shared" si="0"/>
        <v>150</v>
      </c>
      <c r="Q15" s="217"/>
      <c r="R15" s="9">
        <f t="shared" si="1"/>
        <v>150</v>
      </c>
      <c r="S15" s="107"/>
      <c r="T15" s="5"/>
      <c r="U15" s="258">
        <v>880</v>
      </c>
      <c r="V15" s="259">
        <v>114.4</v>
      </c>
      <c r="W15" s="327">
        <v>765.6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251" t="s">
        <v>50</v>
      </c>
      <c r="I16" s="275" t="s">
        <v>272</v>
      </c>
      <c r="J16" s="276" t="s">
        <v>271</v>
      </c>
      <c r="K16" s="277"/>
      <c r="L16" s="278">
        <v>0</v>
      </c>
      <c r="M16" s="355">
        <v>16</v>
      </c>
      <c r="N16" s="356">
        <v>0</v>
      </c>
      <c r="O16" s="277"/>
      <c r="P16" s="278">
        <f t="shared" si="0"/>
        <v>0</v>
      </c>
      <c r="Q16" s="279"/>
      <c r="R16" s="278">
        <f t="shared" si="1"/>
        <v>0</v>
      </c>
      <c r="S16" s="280"/>
      <c r="T16" s="5"/>
      <c r="U16" s="326">
        <f>+V16+W16</f>
        <v>945.97701149425291</v>
      </c>
      <c r="V16" s="256">
        <f>+V15*W16/W15</f>
        <v>122.97701149425289</v>
      </c>
      <c r="W16" s="261">
        <v>823</v>
      </c>
      <c r="X16" s="36" t="s">
        <v>350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25</v>
      </c>
      <c r="J17" s="81" t="s">
        <v>118</v>
      </c>
      <c r="K17" s="228"/>
      <c r="L17" s="227">
        <f>+K17*3</f>
        <v>0</v>
      </c>
      <c r="M17" s="354"/>
      <c r="N17" s="353">
        <f>+M17*3</f>
        <v>0</v>
      </c>
      <c r="O17" s="28"/>
      <c r="P17" s="75">
        <f t="shared" si="0"/>
        <v>0</v>
      </c>
      <c r="Q17" s="218"/>
      <c r="R17" s="11">
        <f t="shared" si="1"/>
        <v>0</v>
      </c>
      <c r="S17" s="107"/>
      <c r="T17" s="5"/>
      <c r="U17" s="32">
        <f>+U15-U16</f>
        <v>-65.977011494252906</v>
      </c>
      <c r="V17" s="47"/>
      <c r="W17" s="33"/>
      <c r="X17" s="262" t="s">
        <v>59</v>
      </c>
      <c r="Z17" s="282">
        <v>43673</v>
      </c>
      <c r="AA17" s="317">
        <v>1</v>
      </c>
      <c r="AB17" s="281">
        <v>3</v>
      </c>
      <c r="AC17" s="174" t="s">
        <v>157</v>
      </c>
    </row>
    <row r="18" spans="1:29">
      <c r="H18" s="95"/>
      <c r="I18" s="25" t="s">
        <v>41</v>
      </c>
      <c r="J18" s="81" t="s">
        <v>112</v>
      </c>
      <c r="K18" s="228"/>
      <c r="L18" s="227">
        <f>+K18*3</f>
        <v>0</v>
      </c>
      <c r="M18" s="354"/>
      <c r="N18" s="353">
        <f>+M18*3</f>
        <v>0</v>
      </c>
      <c r="O18" s="28"/>
      <c r="P18" s="75">
        <f t="shared" si="0"/>
        <v>0</v>
      </c>
      <c r="Q18" s="218"/>
      <c r="R18" s="11">
        <f t="shared" si="1"/>
        <v>0</v>
      </c>
      <c r="S18" s="107"/>
      <c r="T18" s="5"/>
      <c r="U18" s="34">
        <v>150</v>
      </c>
      <c r="V18" s="38">
        <f>+U18-U17</f>
        <v>215.97701149425291</v>
      </c>
      <c r="W18" s="39" t="s">
        <v>63</v>
      </c>
      <c r="X18" s="263">
        <f>150-V18</f>
        <v>-65.977011494252906</v>
      </c>
      <c r="Z18" s="282">
        <f>1+Z17</f>
        <v>43674</v>
      </c>
      <c r="AA18" s="318">
        <v>1</v>
      </c>
      <c r="AB18" s="281">
        <v>5</v>
      </c>
      <c r="AC18" s="33" t="s">
        <v>156</v>
      </c>
    </row>
    <row r="19" spans="1:29">
      <c r="A19" s="215"/>
      <c r="H19" s="83"/>
      <c r="I19" s="126" t="s">
        <v>71</v>
      </c>
      <c r="J19" s="80" t="s">
        <v>139</v>
      </c>
      <c r="K19" s="226"/>
      <c r="L19" s="227">
        <f>5*K19</f>
        <v>0</v>
      </c>
      <c r="M19" s="352"/>
      <c r="N19" s="353">
        <f>5*M19</f>
        <v>0</v>
      </c>
      <c r="O19" s="76">
        <v>23</v>
      </c>
      <c r="P19" s="75">
        <f t="shared" si="0"/>
        <v>138</v>
      </c>
      <c r="Q19" s="217"/>
      <c r="R19" s="11">
        <f t="shared" si="1"/>
        <v>138</v>
      </c>
      <c r="S19" s="106"/>
      <c r="T19" s="5"/>
      <c r="U19" s="10"/>
      <c r="X19" s="37"/>
      <c r="Z19" s="282">
        <f t="shared" ref="Z19:Z27" si="2">1+Z18</f>
        <v>43675</v>
      </c>
      <c r="AA19" s="318">
        <v>1</v>
      </c>
      <c r="AB19" s="281">
        <v>5</v>
      </c>
      <c r="AC19" s="33" t="s">
        <v>151</v>
      </c>
    </row>
    <row r="20" spans="1:29">
      <c r="A20" s="215"/>
      <c r="H20" s="141"/>
      <c r="I20" s="25" t="s">
        <v>28</v>
      </c>
      <c r="J20" s="81" t="s">
        <v>122</v>
      </c>
      <c r="K20" s="228"/>
      <c r="L20" s="227">
        <f>+K20*3</f>
        <v>0</v>
      </c>
      <c r="M20" s="354"/>
      <c r="N20" s="353">
        <f>+M20*3</f>
        <v>0</v>
      </c>
      <c r="O20" s="74"/>
      <c r="P20" s="75">
        <f t="shared" si="0"/>
        <v>0</v>
      </c>
      <c r="Q20" s="217"/>
      <c r="R20" s="9">
        <f t="shared" si="1"/>
        <v>0</v>
      </c>
      <c r="S20" s="107"/>
      <c r="T20" s="5"/>
      <c r="U20" s="258">
        <v>900</v>
      </c>
      <c r="V20" s="259">
        <f>+U20*0.13</f>
        <v>117</v>
      </c>
      <c r="W20" s="327">
        <f>+V20+U20</f>
        <v>1017</v>
      </c>
      <c r="X20" s="100"/>
      <c r="Y20" s="266"/>
      <c r="Z20" s="282">
        <f t="shared" si="2"/>
        <v>43676</v>
      </c>
      <c r="AA20" s="318">
        <v>1</v>
      </c>
      <c r="AB20" s="281">
        <v>2</v>
      </c>
      <c r="AC20" s="33" t="s">
        <v>152</v>
      </c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355">
        <v>21</v>
      </c>
      <c r="N21" s="356">
        <v>0</v>
      </c>
      <c r="O21" s="277"/>
      <c r="P21" s="278">
        <f t="shared" si="0"/>
        <v>0</v>
      </c>
      <c r="Q21" s="279"/>
      <c r="R21" s="278">
        <f t="shared" si="1"/>
        <v>0</v>
      </c>
      <c r="S21" s="280"/>
      <c r="T21" s="5"/>
      <c r="U21" s="326">
        <f>+V21+W21</f>
        <v>802.83185840707961</v>
      </c>
      <c r="V21" s="256">
        <f>+V20*W21/W20</f>
        <v>82.83185840707965</v>
      </c>
      <c r="W21" s="261">
        <v>720</v>
      </c>
      <c r="X21" s="36" t="s">
        <v>350</v>
      </c>
      <c r="Z21" s="282">
        <f t="shared" si="2"/>
        <v>43677</v>
      </c>
      <c r="AA21" s="318"/>
      <c r="AB21" s="281"/>
      <c r="AC21" s="33" t="s">
        <v>153</v>
      </c>
    </row>
    <row r="22" spans="1:29">
      <c r="A22" s="215"/>
      <c r="H22" s="142"/>
      <c r="I22" s="25" t="s">
        <v>4</v>
      </c>
      <c r="J22" s="81" t="s">
        <v>111</v>
      </c>
      <c r="K22" s="228"/>
      <c r="L22" s="227">
        <v>0</v>
      </c>
      <c r="M22" s="354"/>
      <c r="N22" s="353">
        <f>+M22*3</f>
        <v>0</v>
      </c>
      <c r="O22" s="28">
        <v>30</v>
      </c>
      <c r="P22" s="75">
        <f t="shared" si="0"/>
        <v>150</v>
      </c>
      <c r="Q22" s="218"/>
      <c r="R22" s="11">
        <f t="shared" si="1"/>
        <v>150</v>
      </c>
      <c r="S22" s="107"/>
      <c r="T22" s="5"/>
      <c r="U22" s="32">
        <f>+U20-U21</f>
        <v>97.168141592920392</v>
      </c>
      <c r="V22" s="47"/>
      <c r="W22" s="33"/>
      <c r="X22" s="262" t="s">
        <v>59</v>
      </c>
      <c r="Z22" s="282">
        <f t="shared" si="2"/>
        <v>43678</v>
      </c>
      <c r="AA22" s="318"/>
      <c r="AB22" s="281"/>
      <c r="AC22" s="33" t="s">
        <v>154</v>
      </c>
    </row>
    <row r="23" spans="1:29">
      <c r="A23" s="215"/>
      <c r="H23" s="142"/>
      <c r="I23" s="25" t="s">
        <v>9</v>
      </c>
      <c r="J23" s="81" t="s">
        <v>128</v>
      </c>
      <c r="K23" s="228"/>
      <c r="L23" s="227">
        <v>0</v>
      </c>
      <c r="M23" s="354">
        <v>22</v>
      </c>
      <c r="N23" s="353">
        <v>0</v>
      </c>
      <c r="O23" s="28"/>
      <c r="P23" s="75">
        <f t="shared" si="0"/>
        <v>0</v>
      </c>
      <c r="Q23" s="218"/>
      <c r="R23" s="11">
        <f t="shared" si="1"/>
        <v>0</v>
      </c>
      <c r="S23" s="107"/>
      <c r="T23" s="5"/>
      <c r="U23" s="34">
        <v>150</v>
      </c>
      <c r="V23" s="38">
        <f>+U23-U22</f>
        <v>52.831858407079608</v>
      </c>
      <c r="W23" s="39" t="s">
        <v>63</v>
      </c>
      <c r="X23" s="263">
        <f>150-V23</f>
        <v>97.168141592920392</v>
      </c>
      <c r="Z23" s="282">
        <f t="shared" si="2"/>
        <v>43679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354"/>
      <c r="N24" s="353">
        <v>0</v>
      </c>
      <c r="O24" s="28"/>
      <c r="P24" s="11">
        <f t="shared" si="0"/>
        <v>0</v>
      </c>
      <c r="Q24" s="218"/>
      <c r="R24" s="11">
        <f t="shared" si="1"/>
        <v>0</v>
      </c>
      <c r="S24" s="241"/>
      <c r="T24" s="5"/>
      <c r="U24" s="10"/>
      <c r="X24" s="37"/>
      <c r="Z24" s="282">
        <f t="shared" si="2"/>
        <v>43680</v>
      </c>
      <c r="AA24" s="318"/>
      <c r="AB24" s="281"/>
      <c r="AC24" s="61"/>
    </row>
    <row r="25" spans="1:29">
      <c r="H25" s="251" t="s">
        <v>50</v>
      </c>
      <c r="I25" s="275" t="s">
        <v>328</v>
      </c>
      <c r="J25" s="276" t="s">
        <v>329</v>
      </c>
      <c r="K25" s="277"/>
      <c r="L25" s="278">
        <v>0</v>
      </c>
      <c r="M25" s="355"/>
      <c r="N25" s="356">
        <v>0</v>
      </c>
      <c r="O25" s="277">
        <v>29</v>
      </c>
      <c r="P25" s="278">
        <f t="shared" si="0"/>
        <v>150</v>
      </c>
      <c r="Q25" s="279"/>
      <c r="R25" s="278">
        <f t="shared" si="1"/>
        <v>150</v>
      </c>
      <c r="S25" s="280"/>
      <c r="T25" s="5"/>
      <c r="Z25" s="282">
        <f t="shared" si="2"/>
        <v>43681</v>
      </c>
      <c r="AA25" s="318"/>
      <c r="AB25" s="281"/>
      <c r="AC25" s="61"/>
    </row>
    <row r="26" spans="1:29">
      <c r="A26" s="237"/>
      <c r="B26" s="237"/>
      <c r="C26" s="237"/>
      <c r="D26" s="238"/>
      <c r="E26" s="237"/>
      <c r="F26" s="239"/>
      <c r="G26" s="237"/>
      <c r="H26" s="142"/>
      <c r="I26" s="25" t="s">
        <v>51</v>
      </c>
      <c r="J26" s="96" t="s">
        <v>134</v>
      </c>
      <c r="K26" s="29"/>
      <c r="L26" s="27">
        <f>+K26*3</f>
        <v>0</v>
      </c>
      <c r="M26" s="354"/>
      <c r="N26" s="353">
        <f>+M26*3</f>
        <v>0</v>
      </c>
      <c r="O26" s="28">
        <v>24</v>
      </c>
      <c r="P26" s="11">
        <f t="shared" si="0"/>
        <v>144</v>
      </c>
      <c r="Q26" s="218"/>
      <c r="R26" s="240">
        <f t="shared" si="1"/>
        <v>144</v>
      </c>
      <c r="S26" s="241"/>
      <c r="T26" s="5"/>
      <c r="U26" s="332" t="s">
        <v>382</v>
      </c>
      <c r="Z26" s="282">
        <f t="shared" si="2"/>
        <v>43682</v>
      </c>
      <c r="AA26" s="318"/>
      <c r="AB26" s="281"/>
      <c r="AC26" s="65"/>
    </row>
    <row r="27" spans="1:29">
      <c r="A27" s="215"/>
      <c r="H27" s="242" t="s">
        <v>250</v>
      </c>
      <c r="I27" s="188" t="s">
        <v>61</v>
      </c>
      <c r="J27" s="189" t="s">
        <v>137</v>
      </c>
      <c r="K27" s="192"/>
      <c r="L27" s="193">
        <f>3*K27</f>
        <v>0</v>
      </c>
      <c r="M27" s="355">
        <v>24</v>
      </c>
      <c r="N27" s="356">
        <f>3*M27</f>
        <v>72</v>
      </c>
      <c r="O27" s="192"/>
      <c r="P27" s="193">
        <f t="shared" si="0"/>
        <v>0</v>
      </c>
      <c r="Q27" s="221"/>
      <c r="R27" s="329">
        <f t="shared" si="1"/>
        <v>72</v>
      </c>
      <c r="S27" s="106"/>
      <c r="T27" s="5"/>
      <c r="Z27" s="282">
        <f t="shared" si="2"/>
        <v>43683</v>
      </c>
      <c r="AA27" s="319"/>
      <c r="AB27" s="281"/>
      <c r="AC27" s="66"/>
    </row>
    <row r="28" spans="1:29">
      <c r="A28" s="215"/>
      <c r="H28" s="95"/>
      <c r="I28" s="25" t="s">
        <v>14</v>
      </c>
      <c r="J28" s="81" t="s">
        <v>125</v>
      </c>
      <c r="K28" s="228"/>
      <c r="L28" s="227">
        <f>+K28*3</f>
        <v>0</v>
      </c>
      <c r="M28" s="354">
        <v>22</v>
      </c>
      <c r="N28" s="353">
        <v>0</v>
      </c>
      <c r="O28" s="28"/>
      <c r="P28" s="75">
        <f t="shared" si="0"/>
        <v>0</v>
      </c>
      <c r="Q28" s="218"/>
      <c r="R28" s="11">
        <f t="shared" si="1"/>
        <v>0</v>
      </c>
      <c r="S28" s="107"/>
      <c r="T28" s="5"/>
      <c r="U28" s="287" t="s">
        <v>347</v>
      </c>
      <c r="Z28" s="314" t="s">
        <v>150</v>
      </c>
      <c r="AA28" s="315">
        <f>SUM(AA17:AA27)</f>
        <v>4</v>
      </c>
      <c r="AB28" s="316" t="s">
        <v>148</v>
      </c>
      <c r="AC28" s="68"/>
    </row>
    <row r="29" spans="1:29">
      <c r="A29" s="215"/>
      <c r="H29" s="83"/>
      <c r="I29" s="126" t="s">
        <v>79</v>
      </c>
      <c r="J29" s="82" t="s">
        <v>110</v>
      </c>
      <c r="K29" s="228"/>
      <c r="L29" s="227">
        <v>0</v>
      </c>
      <c r="M29" s="354"/>
      <c r="N29" s="353">
        <v>0</v>
      </c>
      <c r="O29" s="76">
        <v>34</v>
      </c>
      <c r="P29" s="75">
        <f t="shared" si="0"/>
        <v>150</v>
      </c>
      <c r="Q29" s="217"/>
      <c r="R29" s="11">
        <f t="shared" si="1"/>
        <v>150</v>
      </c>
      <c r="S29" s="106"/>
      <c r="T29" s="5"/>
      <c r="Z29" s="184"/>
      <c r="AA29" s="171">
        <f>SUM(AB17:AB27)</f>
        <v>15</v>
      </c>
      <c r="AB29" s="185" t="s">
        <v>149</v>
      </c>
      <c r="AC29" s="69"/>
    </row>
    <row r="30" spans="1:29" ht="16.5">
      <c r="H30" s="83"/>
      <c r="I30" s="269" t="s">
        <v>214</v>
      </c>
      <c r="J30" s="270" t="s">
        <v>215</v>
      </c>
      <c r="K30" s="271"/>
      <c r="L30" s="272">
        <v>0</v>
      </c>
      <c r="M30" s="354">
        <v>20</v>
      </c>
      <c r="N30" s="353">
        <v>0</v>
      </c>
      <c r="O30" s="271"/>
      <c r="P30" s="272">
        <f t="shared" si="0"/>
        <v>0</v>
      </c>
      <c r="Q30" s="273"/>
      <c r="R30" s="272">
        <f t="shared" si="1"/>
        <v>0</v>
      </c>
      <c r="S30" s="274"/>
      <c r="T30" s="5"/>
      <c r="Z30" s="186" t="s">
        <v>160</v>
      </c>
      <c r="AA30" s="284">
        <f>+AA29/AA28</f>
        <v>3.75</v>
      </c>
      <c r="AB30" s="173" t="s">
        <v>150</v>
      </c>
      <c r="AC30" s="65"/>
    </row>
    <row r="31" spans="1:29">
      <c r="A31" s="237"/>
      <c r="B31" s="237"/>
      <c r="C31" s="237"/>
      <c r="D31" s="238"/>
      <c r="E31" s="237"/>
      <c r="F31" s="239"/>
      <c r="G31" s="237"/>
      <c r="H31" s="142"/>
      <c r="I31" s="25" t="s">
        <v>45</v>
      </c>
      <c r="J31" s="96" t="s">
        <v>133</v>
      </c>
      <c r="K31" s="29"/>
      <c r="L31" s="27">
        <f>+K31*3</f>
        <v>0</v>
      </c>
      <c r="M31" s="354"/>
      <c r="N31" s="353">
        <f>+M31*3</f>
        <v>0</v>
      </c>
      <c r="O31" s="28">
        <v>25</v>
      </c>
      <c r="P31" s="11">
        <f t="shared" si="0"/>
        <v>150</v>
      </c>
      <c r="Q31" s="218"/>
      <c r="R31" s="240">
        <f t="shared" si="1"/>
        <v>150</v>
      </c>
      <c r="S31" s="241"/>
      <c r="T31" s="5"/>
    </row>
    <row r="32" spans="1:29">
      <c r="A32" s="215"/>
      <c r="H32" s="142"/>
      <c r="I32" s="25" t="s">
        <v>13</v>
      </c>
      <c r="J32" s="81" t="s">
        <v>319</v>
      </c>
      <c r="K32" s="228"/>
      <c r="L32" s="227">
        <f>3*K32</f>
        <v>0</v>
      </c>
      <c r="M32" s="354"/>
      <c r="N32" s="353">
        <f>5*M32</f>
        <v>0</v>
      </c>
      <c r="O32" s="28">
        <v>18</v>
      </c>
      <c r="P32" s="75">
        <f t="shared" si="0"/>
        <v>108</v>
      </c>
      <c r="Q32" s="218"/>
      <c r="R32" s="57">
        <f t="shared" si="1"/>
        <v>108</v>
      </c>
      <c r="S32" s="107"/>
      <c r="T32" s="5"/>
    </row>
    <row r="33" spans="1:32">
      <c r="A33" s="215"/>
      <c r="H33" s="95"/>
      <c r="I33" s="25" t="s">
        <v>31</v>
      </c>
      <c r="J33" s="81" t="s">
        <v>127</v>
      </c>
      <c r="K33" s="228"/>
      <c r="L33" s="227">
        <v>0</v>
      </c>
      <c r="M33" s="354"/>
      <c r="N33" s="353">
        <f>3*M33</f>
        <v>0</v>
      </c>
      <c r="O33" s="28">
        <v>28</v>
      </c>
      <c r="P33" s="75">
        <f t="shared" si="0"/>
        <v>150</v>
      </c>
      <c r="Q33" s="218"/>
      <c r="R33" s="11">
        <f t="shared" si="1"/>
        <v>150</v>
      </c>
      <c r="S33" s="107"/>
      <c r="T33" s="5"/>
    </row>
    <row r="34" spans="1:32" s="4" customFormat="1">
      <c r="A34" s="215"/>
      <c r="B34"/>
      <c r="C34"/>
      <c r="D34" s="1"/>
      <c r="E34"/>
      <c r="F34" s="2"/>
      <c r="G34"/>
      <c r="H34" s="95"/>
      <c r="I34" s="25" t="s">
        <v>30</v>
      </c>
      <c r="J34" s="81" t="s">
        <v>126</v>
      </c>
      <c r="K34" s="228"/>
      <c r="L34" s="227">
        <f>+K34*3</f>
        <v>0</v>
      </c>
      <c r="M34" s="354"/>
      <c r="N34" s="353">
        <f>+M34*3</f>
        <v>0</v>
      </c>
      <c r="O34" s="28">
        <v>30</v>
      </c>
      <c r="P34" s="75">
        <f t="shared" si="0"/>
        <v>150</v>
      </c>
      <c r="Q34" s="218"/>
      <c r="R34" s="320">
        <f t="shared" si="1"/>
        <v>150</v>
      </c>
      <c r="S34" s="107"/>
      <c r="T34" s="5"/>
      <c r="U34"/>
      <c r="V34" s="46"/>
      <c r="W34"/>
      <c r="X34"/>
      <c r="Y34"/>
      <c r="Z34"/>
      <c r="AA34"/>
      <c r="AB34"/>
      <c r="AC34"/>
      <c r="AD34"/>
      <c r="AE34"/>
      <c r="AF34"/>
    </row>
    <row r="35" spans="1:32">
      <c r="A35" s="215"/>
      <c r="H35" s="83"/>
      <c r="I35" s="269" t="s">
        <v>186</v>
      </c>
      <c r="J35" s="270" t="s">
        <v>187</v>
      </c>
      <c r="K35" s="271"/>
      <c r="L35" s="272">
        <v>0</v>
      </c>
      <c r="M35" s="354">
        <v>22</v>
      </c>
      <c r="N35" s="353">
        <v>0</v>
      </c>
      <c r="O35" s="271"/>
      <c r="P35" s="272">
        <f t="shared" si="0"/>
        <v>0</v>
      </c>
      <c r="Q35" s="273"/>
      <c r="R35" s="272">
        <f t="shared" si="1"/>
        <v>0</v>
      </c>
      <c r="S35" s="274"/>
      <c r="T35" s="5"/>
    </row>
    <row r="36" spans="1:32">
      <c r="A36" s="215"/>
      <c r="H36" s="83"/>
      <c r="I36" s="25" t="s">
        <v>17</v>
      </c>
      <c r="J36" s="81" t="s">
        <v>123</v>
      </c>
      <c r="K36" s="228"/>
      <c r="L36" s="227">
        <f>+K36*3</f>
        <v>0</v>
      </c>
      <c r="M36" s="354"/>
      <c r="N36" s="353">
        <v>0</v>
      </c>
      <c r="O36" s="74">
        <v>23</v>
      </c>
      <c r="P36" s="75">
        <f t="shared" si="0"/>
        <v>138</v>
      </c>
      <c r="Q36" s="218"/>
      <c r="R36" s="11">
        <f t="shared" si="1"/>
        <v>138</v>
      </c>
      <c r="S36" s="107"/>
      <c r="T36" s="5"/>
    </row>
    <row r="37" spans="1:32">
      <c r="A37" s="215"/>
      <c r="H37" s="83"/>
      <c r="I37" s="25" t="s">
        <v>60</v>
      </c>
      <c r="J37" s="81" t="s">
        <v>132</v>
      </c>
      <c r="K37" s="228"/>
      <c r="L37" s="227">
        <v>0</v>
      </c>
      <c r="M37" s="354"/>
      <c r="N37" s="353">
        <v>0</v>
      </c>
      <c r="O37" s="74"/>
      <c r="P37" s="75">
        <f>IF(O37&gt;25,150,(O37)*6)</f>
        <v>0</v>
      </c>
      <c r="Q37" s="218"/>
      <c r="R37" s="11">
        <f>+L37+N37+P37+Q37</f>
        <v>0</v>
      </c>
      <c r="S37" s="107"/>
      <c r="T37" s="5"/>
    </row>
    <row r="38" spans="1:32">
      <c r="H38" s="142"/>
      <c r="I38" s="25" t="s">
        <v>233</v>
      </c>
      <c r="J38" s="81" t="s">
        <v>234</v>
      </c>
      <c r="K38" s="228"/>
      <c r="L38" s="227">
        <v>0</v>
      </c>
      <c r="M38" s="354">
        <v>14</v>
      </c>
      <c r="N38" s="353">
        <v>0</v>
      </c>
      <c r="O38" s="28"/>
      <c r="P38" s="75">
        <f t="shared" si="0"/>
        <v>0</v>
      </c>
      <c r="Q38" s="218"/>
      <c r="R38" s="57">
        <f t="shared" si="1"/>
        <v>0</v>
      </c>
      <c r="S38" s="107"/>
      <c r="T38" s="5"/>
      <c r="AF38" s="4"/>
    </row>
    <row r="39" spans="1:32">
      <c r="A39" s="215"/>
      <c r="H39" s="95"/>
      <c r="I39" s="25" t="s">
        <v>8</v>
      </c>
      <c r="J39" s="81" t="s">
        <v>120</v>
      </c>
      <c r="K39" s="228"/>
      <c r="L39" s="227">
        <v>0</v>
      </c>
      <c r="M39" s="354"/>
      <c r="N39" s="353">
        <v>0</v>
      </c>
      <c r="O39" s="28">
        <v>25</v>
      </c>
      <c r="P39" s="75">
        <f t="shared" si="0"/>
        <v>150</v>
      </c>
      <c r="Q39" s="218"/>
      <c r="R39" s="11">
        <f t="shared" si="1"/>
        <v>150</v>
      </c>
      <c r="S39" s="107"/>
      <c r="T39" s="5"/>
    </row>
    <row r="40" spans="1:32">
      <c r="A40" s="215"/>
      <c r="H40" s="83"/>
      <c r="I40" s="25" t="s">
        <v>11</v>
      </c>
      <c r="J40" s="96" t="s">
        <v>130</v>
      </c>
      <c r="K40" s="228"/>
      <c r="L40" s="227">
        <f>+K40*3</f>
        <v>0</v>
      </c>
      <c r="M40" s="354"/>
      <c r="N40" s="353">
        <f>+M40*3</f>
        <v>0</v>
      </c>
      <c r="O40" s="74">
        <v>32</v>
      </c>
      <c r="P40" s="75">
        <f t="shared" si="0"/>
        <v>150</v>
      </c>
      <c r="Q40" s="220"/>
      <c r="R40" s="11">
        <f t="shared" si="1"/>
        <v>150</v>
      </c>
      <c r="S40" s="107"/>
      <c r="T40" s="5"/>
    </row>
    <row r="41" spans="1:32">
      <c r="H41" s="83"/>
      <c r="I41" s="25" t="s">
        <v>44</v>
      </c>
      <c r="J41" s="96" t="s">
        <v>124</v>
      </c>
      <c r="K41" s="228"/>
      <c r="L41" s="227">
        <f>+K41*3</f>
        <v>0</v>
      </c>
      <c r="M41" s="354"/>
      <c r="N41" s="353">
        <f>+M41*3</f>
        <v>0</v>
      </c>
      <c r="O41" s="113"/>
      <c r="P41" s="75">
        <f t="shared" si="0"/>
        <v>0</v>
      </c>
      <c r="Q41" s="218"/>
      <c r="R41" s="11">
        <f t="shared" si="1"/>
        <v>0</v>
      </c>
      <c r="S41" s="107"/>
      <c r="T41" s="5"/>
    </row>
    <row r="42" spans="1:32">
      <c r="H42" s="83"/>
      <c r="I42" s="25" t="s">
        <v>6</v>
      </c>
      <c r="J42" s="96" t="s">
        <v>116</v>
      </c>
      <c r="K42" s="228"/>
      <c r="L42" s="227">
        <f>+K42*3</f>
        <v>0</v>
      </c>
      <c r="M42" s="354"/>
      <c r="N42" s="353">
        <f>+M42*3</f>
        <v>0</v>
      </c>
      <c r="O42" s="74">
        <v>26</v>
      </c>
      <c r="P42" s="75">
        <f t="shared" si="0"/>
        <v>150</v>
      </c>
      <c r="Q42" s="220"/>
      <c r="R42" s="11">
        <f t="shared" si="1"/>
        <v>150</v>
      </c>
      <c r="S42" s="107"/>
      <c r="T42" s="5"/>
    </row>
    <row r="43" spans="1:32">
      <c r="H43" s="95"/>
      <c r="I43" s="25" t="s">
        <v>53</v>
      </c>
      <c r="J43" s="81" t="s">
        <v>135</v>
      </c>
      <c r="K43" s="228"/>
      <c r="L43" s="227">
        <v>0</v>
      </c>
      <c r="M43" s="354"/>
      <c r="N43" s="353">
        <v>0</v>
      </c>
      <c r="O43" s="28">
        <v>16</v>
      </c>
      <c r="P43" s="75">
        <f t="shared" si="0"/>
        <v>96</v>
      </c>
      <c r="Q43" s="218"/>
      <c r="R43" s="11">
        <f t="shared" si="1"/>
        <v>96</v>
      </c>
      <c r="S43" s="107"/>
      <c r="T43" s="5"/>
    </row>
    <row r="44" spans="1:32">
      <c r="H44" s="242" t="s">
        <v>250</v>
      </c>
      <c r="I44" s="336" t="s">
        <v>12</v>
      </c>
      <c r="J44" s="337" t="s">
        <v>114</v>
      </c>
      <c r="K44" s="338"/>
      <c r="L44" s="339">
        <v>0</v>
      </c>
      <c r="M44" s="357"/>
      <c r="N44" s="358">
        <f>3*M44</f>
        <v>0</v>
      </c>
      <c r="O44" s="338">
        <v>25</v>
      </c>
      <c r="P44" s="339">
        <f t="shared" si="0"/>
        <v>150</v>
      </c>
      <c r="Q44" s="340"/>
      <c r="R44" s="341">
        <f t="shared" si="1"/>
        <v>150</v>
      </c>
      <c r="S44" s="148"/>
      <c r="T44" s="5"/>
    </row>
    <row r="45" spans="1:32">
      <c r="I45" s="13"/>
      <c r="J45" s="14"/>
      <c r="K45" s="234">
        <f t="shared" ref="K45:S45" si="3">SUM(K5:K44)</f>
        <v>0</v>
      </c>
      <c r="L45" s="235">
        <f t="shared" si="3"/>
        <v>0</v>
      </c>
      <c r="M45" s="359">
        <f t="shared" si="3"/>
        <v>180</v>
      </c>
      <c r="N45" s="360">
        <f t="shared" si="3"/>
        <v>72</v>
      </c>
      <c r="O45" s="77">
        <f t="shared" si="3"/>
        <v>546</v>
      </c>
      <c r="P45" s="78">
        <f t="shared" si="3"/>
        <v>2874</v>
      </c>
      <c r="Q45" s="323">
        <f t="shared" si="3"/>
        <v>0</v>
      </c>
      <c r="R45" s="78">
        <f t="shared" si="3"/>
        <v>2946</v>
      </c>
      <c r="S45" s="102">
        <f t="shared" si="3"/>
        <v>0</v>
      </c>
      <c r="T45" s="5"/>
    </row>
    <row r="46" spans="1:32">
      <c r="J46" s="200">
        <f ca="1">TODAY()</f>
        <v>43825</v>
      </c>
      <c r="K46" s="41"/>
      <c r="M46" s="42"/>
      <c r="N46" s="41"/>
      <c r="O46" s="45" t="s">
        <v>81</v>
      </c>
      <c r="Q46" s="42"/>
      <c r="R46" s="45">
        <f>+R8+R11+R16+R21+R25+R27+R44</f>
        <v>372</v>
      </c>
      <c r="T46" s="5"/>
      <c r="AC46">
        <v>4</v>
      </c>
    </row>
    <row r="47" spans="1:32" ht="15" customHeight="1">
      <c r="L47" s="43"/>
      <c r="M47" s="44"/>
      <c r="N47" s="125"/>
      <c r="O47" s="43" t="s">
        <v>91</v>
      </c>
      <c r="P47" s="114">
        <v>2622</v>
      </c>
      <c r="Q47" s="110" t="s">
        <v>58</v>
      </c>
      <c r="R47" s="111">
        <f>+R45-R46</f>
        <v>2574</v>
      </c>
      <c r="S47" s="10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24" t="s">
        <v>416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25" t="s">
        <v>417</v>
      </c>
      <c r="P50" s="19"/>
      <c r="T50" s="5"/>
    </row>
    <row r="51" spans="9:29">
      <c r="I51" s="324" t="s">
        <v>418</v>
      </c>
      <c r="P51" s="19"/>
      <c r="T51" s="5"/>
    </row>
    <row r="52" spans="9:29">
      <c r="I52" s="324" t="s">
        <v>419</v>
      </c>
      <c r="P52" s="19"/>
      <c r="T52" s="5"/>
      <c r="V52" s="59"/>
      <c r="W52" s="60"/>
      <c r="X52" s="61"/>
    </row>
    <row r="53" spans="9:29">
      <c r="I53" s="324" t="s">
        <v>420</v>
      </c>
      <c r="P53" s="19"/>
      <c r="U53" s="58"/>
      <c r="V53" s="59"/>
      <c r="W53" s="60"/>
      <c r="X53" s="61"/>
    </row>
    <row r="54" spans="9:29">
      <c r="I54" s="324" t="s">
        <v>421</v>
      </c>
      <c r="U54" s="58"/>
      <c r="V54" s="59"/>
      <c r="W54" s="62"/>
      <c r="X54" s="65"/>
    </row>
    <row r="55" spans="9:29">
      <c r="I55" s="324" t="s">
        <v>422</v>
      </c>
      <c r="U55" s="58"/>
      <c r="V55" s="59"/>
      <c r="W55" s="67"/>
      <c r="X55" s="60"/>
    </row>
    <row r="56" spans="9:29">
      <c r="I56" s="324" t="s">
        <v>423</v>
      </c>
      <c r="U56" s="58"/>
      <c r="V56" s="59"/>
      <c r="W56" s="60"/>
      <c r="X56" s="60"/>
    </row>
    <row r="57" spans="9:29">
      <c r="I57" s="324" t="s">
        <v>424</v>
      </c>
      <c r="U57" s="58"/>
      <c r="V57" s="59"/>
      <c r="W57" s="60"/>
      <c r="X57" s="68"/>
    </row>
    <row r="58" spans="9:29">
      <c r="U58" s="58"/>
      <c r="V58" s="59"/>
      <c r="W58" s="60"/>
      <c r="X58" s="69"/>
    </row>
    <row r="59" spans="9:29">
      <c r="U59" s="58"/>
      <c r="V59" s="59"/>
      <c r="W59" s="60"/>
      <c r="X59" s="60"/>
    </row>
    <row r="60" spans="9:29">
      <c r="U60" s="58"/>
      <c r="V60" s="59"/>
      <c r="W60" s="60"/>
      <c r="X60" s="60"/>
    </row>
    <row r="61" spans="9:29">
      <c r="U61" s="58"/>
      <c r="V61" s="59"/>
      <c r="W61" s="62"/>
      <c r="X61" s="60"/>
    </row>
    <row r="62" spans="9:29">
      <c r="U62" s="58"/>
      <c r="V62" s="59"/>
      <c r="W62" s="62"/>
      <c r="X62" s="60"/>
    </row>
    <row r="63" spans="9:29">
      <c r="U63" s="64"/>
      <c r="V63" s="59"/>
      <c r="W63" s="60"/>
      <c r="X63" s="60"/>
    </row>
    <row r="64" spans="9:29">
      <c r="U64" s="58"/>
      <c r="V64" s="66"/>
      <c r="W64" s="67"/>
      <c r="X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  <row r="68" spans="21:23">
      <c r="U68" s="60"/>
      <c r="V68" s="59"/>
      <c r="W68" s="60"/>
    </row>
    <row r="69" spans="21:23">
      <c r="U69" s="60"/>
      <c r="V69" s="59"/>
      <c r="W69" s="60"/>
    </row>
    <row r="70" spans="21:23">
      <c r="U70" s="60"/>
      <c r="V70" s="59"/>
      <c r="W70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98" priority="4" operator="lessThanOrEqual">
      <formula>0</formula>
    </cfRule>
  </conditionalFormatting>
  <conditionalFormatting sqref="R5:R44">
    <cfRule type="cellIs" dxfId="97" priority="3" operator="greaterThan">
      <formula>0</formula>
    </cfRule>
  </conditionalFormatting>
  <conditionalFormatting sqref="R44">
    <cfRule type="cellIs" dxfId="96" priority="2" operator="greaterThan">
      <formula>0</formula>
    </cfRule>
  </conditionalFormatting>
  <conditionalFormatting sqref="R27">
    <cfRule type="cellIs" dxfId="95" priority="1" operator="greaterThan">
      <formula>0</formula>
    </cfRule>
  </conditionalFormatting>
  <printOptions horizontalCentered="1"/>
  <pageMargins left="0" right="0" top="0.47244094488188981" bottom="0" header="0" footer="0"/>
  <pageSetup paperSize="9" scale="9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70"/>
  <sheetViews>
    <sheetView zoomScale="85" zoomScaleNormal="85" workbookViewId="0">
      <pane xSplit="10" ySplit="4" topLeftCell="K45" activePane="bottomRight" state="frozen"/>
      <selection pane="topRight" activeCell="K1" sqref="K1"/>
      <selection pane="bottomLeft" activeCell="A5" sqref="A5"/>
      <selection pane="bottomRight" activeCell="O81" sqref="O81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.7109375" customWidth="1"/>
    <col min="9" max="9" width="7.42578125" customWidth="1"/>
    <col min="10" max="10" width="25.7109375" customWidth="1"/>
    <col min="11" max="11" width="1.7109375" customWidth="1"/>
    <col min="12" max="12" width="1.5703125" customWidth="1"/>
    <col min="13" max="13" width="5.7109375" customWidth="1"/>
    <col min="14" max="14" width="7.7109375" customWidth="1"/>
    <col min="15" max="15" width="6.85546875" customWidth="1"/>
    <col min="16" max="16" width="12.140625" customWidth="1"/>
    <col min="17" max="17" width="7.7109375" customWidth="1"/>
    <col min="18" max="18" width="15.7109375" customWidth="1"/>
    <col min="19" max="19" width="3.7109375" style="103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 ht="14.1" customHeight="1">
      <c r="H2" s="83"/>
      <c r="I2" s="429" t="s">
        <v>409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342" t="s">
        <v>15</v>
      </c>
      <c r="N4" s="343" t="s">
        <v>399</v>
      </c>
      <c r="O4" s="87" t="s">
        <v>15</v>
      </c>
      <c r="P4" s="87" t="s">
        <v>410</v>
      </c>
      <c r="Q4" s="99" t="s">
        <v>411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344"/>
      <c r="N5" s="345">
        <v>0</v>
      </c>
      <c r="O5" s="76">
        <v>31</v>
      </c>
      <c r="P5" s="75">
        <f t="shared" ref="P5:P44" si="0">IF(O5&gt;25,150,(O5)*6)</f>
        <v>150</v>
      </c>
      <c r="Q5" s="217"/>
      <c r="R5" s="11">
        <f t="shared" ref="R5:R44" si="1">+L5+N5+P5+Q5</f>
        <v>150</v>
      </c>
      <c r="S5" s="106"/>
      <c r="T5" s="5"/>
      <c r="U5" s="258">
        <v>815.2</v>
      </c>
      <c r="V5" s="259">
        <v>94</v>
      </c>
      <c r="W5" s="260">
        <v>721.2</v>
      </c>
      <c r="X5" s="333" t="s">
        <v>215</v>
      </c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344"/>
      <c r="N6" s="345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26">
        <f>+V6+W6</f>
        <v>813.84359400998335</v>
      </c>
      <c r="V6" s="256">
        <f>+V5*W6/W5</f>
        <v>93.843594009983349</v>
      </c>
      <c r="W6" s="261">
        <v>720</v>
      </c>
      <c r="X6" s="334" t="s">
        <v>381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346"/>
      <c r="N7" s="345">
        <v>0</v>
      </c>
      <c r="O7" s="74">
        <v>40</v>
      </c>
      <c r="P7" s="75">
        <f t="shared" si="0"/>
        <v>150</v>
      </c>
      <c r="Q7" s="218"/>
      <c r="R7" s="9">
        <f t="shared" si="1"/>
        <v>150</v>
      </c>
      <c r="S7" s="106"/>
      <c r="T7" s="5"/>
      <c r="U7" s="32">
        <f>+U5-U6+0.01</f>
        <v>1.3664059900166967</v>
      </c>
      <c r="V7" s="47"/>
      <c r="W7" s="33"/>
      <c r="X7" s="262" t="s">
        <v>59</v>
      </c>
    </row>
    <row r="8" spans="8:29">
      <c r="H8" s="251" t="s">
        <v>50</v>
      </c>
      <c r="I8" s="275" t="s">
        <v>387</v>
      </c>
      <c r="J8" s="276" t="s">
        <v>388</v>
      </c>
      <c r="K8" s="277"/>
      <c r="L8" s="278">
        <v>0</v>
      </c>
      <c r="M8" s="347"/>
      <c r="N8" s="348">
        <v>0</v>
      </c>
      <c r="O8" s="277"/>
      <c r="P8" s="278">
        <f t="shared" si="0"/>
        <v>0</v>
      </c>
      <c r="Q8" s="279"/>
      <c r="R8" s="278">
        <f t="shared" si="1"/>
        <v>0</v>
      </c>
      <c r="S8" s="280"/>
      <c r="T8" s="5"/>
      <c r="U8" s="34">
        <v>150</v>
      </c>
      <c r="V8" s="335">
        <f>+U8-U7</f>
        <v>148.63359400998331</v>
      </c>
      <c r="W8" s="39" t="s">
        <v>63</v>
      </c>
      <c r="X8" s="263">
        <f>150-V8</f>
        <v>1.3664059900166876</v>
      </c>
    </row>
    <row r="9" spans="8:29">
      <c r="H9" s="83"/>
      <c r="I9" s="25" t="s">
        <v>2</v>
      </c>
      <c r="J9" s="81" t="s">
        <v>107</v>
      </c>
      <c r="K9" s="228"/>
      <c r="L9" s="227">
        <f>+K9*3</f>
        <v>0</v>
      </c>
      <c r="M9" s="346"/>
      <c r="N9" s="345">
        <f>+M9*3</f>
        <v>0</v>
      </c>
      <c r="O9" s="74">
        <v>39</v>
      </c>
      <c r="P9" s="75">
        <f t="shared" si="0"/>
        <v>150</v>
      </c>
      <c r="Q9" s="218"/>
      <c r="R9" s="9">
        <f t="shared" si="1"/>
        <v>150</v>
      </c>
      <c r="S9" s="138"/>
      <c r="T9" s="5"/>
      <c r="U9" s="10"/>
      <c r="X9" s="37"/>
    </row>
    <row r="10" spans="8:29" ht="15" customHeight="1">
      <c r="H10" s="95"/>
      <c r="I10" s="25" t="s">
        <v>42</v>
      </c>
      <c r="J10" s="81" t="s">
        <v>119</v>
      </c>
      <c r="K10" s="228"/>
      <c r="L10" s="227">
        <f>+K10*3</f>
        <v>0</v>
      </c>
      <c r="M10" s="346"/>
      <c r="N10" s="345">
        <f>+M10*3</f>
        <v>0</v>
      </c>
      <c r="O10" s="28"/>
      <c r="P10" s="75">
        <f t="shared" si="0"/>
        <v>0</v>
      </c>
      <c r="Q10" s="218"/>
      <c r="R10" s="11">
        <f t="shared" si="1"/>
        <v>0</v>
      </c>
      <c r="S10" s="107"/>
      <c r="T10" s="5"/>
      <c r="U10" s="258">
        <v>988</v>
      </c>
      <c r="V10" s="259">
        <v>118.76</v>
      </c>
      <c r="W10" s="260">
        <v>869.24</v>
      </c>
      <c r="X10" s="333" t="s">
        <v>349</v>
      </c>
      <c r="Y10" s="266"/>
    </row>
    <row r="11" spans="8:29">
      <c r="H11" s="251" t="s">
        <v>50</v>
      </c>
      <c r="I11" s="275" t="s">
        <v>1</v>
      </c>
      <c r="J11" s="276" t="s">
        <v>106</v>
      </c>
      <c r="K11" s="277"/>
      <c r="L11" s="278">
        <f>3*K11</f>
        <v>0</v>
      </c>
      <c r="M11" s="347"/>
      <c r="N11" s="348">
        <f>3*M11</f>
        <v>0</v>
      </c>
      <c r="O11" s="277"/>
      <c r="P11" s="278">
        <f t="shared" si="0"/>
        <v>0</v>
      </c>
      <c r="Q11" s="279"/>
      <c r="R11" s="278">
        <f t="shared" si="1"/>
        <v>0</v>
      </c>
      <c r="S11" s="280"/>
      <c r="T11" s="5"/>
      <c r="U11" s="326">
        <f>+V11+W11</f>
        <v>935.44245547834896</v>
      </c>
      <c r="V11" s="256">
        <f>+V10*W11/W10</f>
        <v>112.44245547834892</v>
      </c>
      <c r="W11" s="261">
        <v>823</v>
      </c>
      <c r="X11" s="334" t="s">
        <v>348</v>
      </c>
    </row>
    <row r="12" spans="8:29">
      <c r="H12" s="95"/>
      <c r="I12" s="25" t="s">
        <v>56</v>
      </c>
      <c r="J12" s="81" t="s">
        <v>136</v>
      </c>
      <c r="K12" s="228"/>
      <c r="L12" s="227">
        <v>0</v>
      </c>
      <c r="M12" s="346"/>
      <c r="N12" s="345">
        <f>2.7*M12</f>
        <v>0</v>
      </c>
      <c r="O12" s="28">
        <v>32</v>
      </c>
      <c r="P12" s="75">
        <f t="shared" si="0"/>
        <v>150</v>
      </c>
      <c r="Q12" s="218"/>
      <c r="R12" s="11">
        <f t="shared" si="1"/>
        <v>150</v>
      </c>
      <c r="S12" s="107"/>
      <c r="T12" s="5"/>
      <c r="U12" s="32">
        <f>+U10-U11</f>
        <v>52.557544521651039</v>
      </c>
      <c r="V12" s="47"/>
      <c r="W12" s="33"/>
      <c r="X12" s="262" t="s">
        <v>59</v>
      </c>
    </row>
    <row r="13" spans="8:29">
      <c r="H13" s="95"/>
      <c r="I13" s="25" t="s">
        <v>16</v>
      </c>
      <c r="J13" s="81" t="s">
        <v>113</v>
      </c>
      <c r="K13" s="228"/>
      <c r="L13" s="227">
        <v>0</v>
      </c>
      <c r="M13" s="346"/>
      <c r="N13" s="345">
        <v>0</v>
      </c>
      <c r="O13" s="28"/>
      <c r="P13" s="75">
        <f t="shared" si="0"/>
        <v>0</v>
      </c>
      <c r="Q13" s="218"/>
      <c r="R13" s="9">
        <f t="shared" si="1"/>
        <v>0</v>
      </c>
      <c r="S13" s="106"/>
      <c r="T13" s="5"/>
      <c r="U13" s="34">
        <v>150</v>
      </c>
      <c r="V13" s="38">
        <f>+U13-U12</f>
        <v>97.442455478348961</v>
      </c>
      <c r="W13" s="39" t="s">
        <v>63</v>
      </c>
      <c r="X13" s="263">
        <f>150-V13</f>
        <v>52.557544521651039</v>
      </c>
    </row>
    <row r="14" spans="8:29">
      <c r="H14" s="83"/>
      <c r="I14" s="25" t="s">
        <v>92</v>
      </c>
      <c r="J14" s="81" t="s">
        <v>109</v>
      </c>
      <c r="K14" s="228"/>
      <c r="L14" s="227">
        <v>0</v>
      </c>
      <c r="M14" s="346"/>
      <c r="N14" s="345">
        <v>0</v>
      </c>
      <c r="O14" s="74"/>
      <c r="P14" s="75">
        <f t="shared" si="0"/>
        <v>0</v>
      </c>
      <c r="Q14" s="217"/>
      <c r="R14" s="9">
        <f t="shared" si="1"/>
        <v>0</v>
      </c>
      <c r="S14" s="107"/>
      <c r="T14" s="5"/>
      <c r="U14" s="10"/>
      <c r="X14" s="37"/>
    </row>
    <row r="15" spans="8:29">
      <c r="H15" s="83"/>
      <c r="I15" s="25" t="s">
        <v>20</v>
      </c>
      <c r="J15" s="81" t="s">
        <v>195</v>
      </c>
      <c r="K15" s="228"/>
      <c r="L15" s="227">
        <f>+K15*3</f>
        <v>0</v>
      </c>
      <c r="M15" s="346"/>
      <c r="N15" s="345">
        <f>+M15*3</f>
        <v>0</v>
      </c>
      <c r="O15" s="74">
        <v>1</v>
      </c>
      <c r="P15" s="75">
        <f t="shared" si="0"/>
        <v>6</v>
      </c>
      <c r="Q15" s="217"/>
      <c r="R15" s="9">
        <f t="shared" si="1"/>
        <v>6</v>
      </c>
      <c r="S15" s="107"/>
      <c r="T15" s="5"/>
      <c r="U15" s="258">
        <v>880</v>
      </c>
      <c r="V15" s="259">
        <v>114.4</v>
      </c>
      <c r="W15" s="327">
        <v>765.6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251" t="s">
        <v>50</v>
      </c>
      <c r="I16" s="275" t="s">
        <v>272</v>
      </c>
      <c r="J16" s="276" t="s">
        <v>271</v>
      </c>
      <c r="K16" s="277"/>
      <c r="L16" s="278">
        <v>0</v>
      </c>
      <c r="M16" s="347"/>
      <c r="N16" s="348">
        <f>3*M16</f>
        <v>0</v>
      </c>
      <c r="O16" s="277"/>
      <c r="P16" s="278">
        <f t="shared" si="0"/>
        <v>0</v>
      </c>
      <c r="Q16" s="279"/>
      <c r="R16" s="278">
        <f t="shared" si="1"/>
        <v>0</v>
      </c>
      <c r="S16" s="280"/>
      <c r="T16" s="5"/>
      <c r="U16" s="326">
        <f>+V16+W16</f>
        <v>945.97701149425291</v>
      </c>
      <c r="V16" s="256">
        <f>+V15*W16/W15</f>
        <v>122.97701149425289</v>
      </c>
      <c r="W16" s="261">
        <v>823</v>
      </c>
      <c r="X16" s="36" t="s">
        <v>350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25</v>
      </c>
      <c r="J17" s="81" t="s">
        <v>118</v>
      </c>
      <c r="K17" s="228"/>
      <c r="L17" s="227">
        <f>+K17*3</f>
        <v>0</v>
      </c>
      <c r="M17" s="346"/>
      <c r="N17" s="345">
        <f>+M17*3</f>
        <v>0</v>
      </c>
      <c r="O17" s="28">
        <v>28</v>
      </c>
      <c r="P17" s="75">
        <f t="shared" si="0"/>
        <v>150</v>
      </c>
      <c r="Q17" s="218"/>
      <c r="R17" s="11">
        <f t="shared" si="1"/>
        <v>150</v>
      </c>
      <c r="S17" s="107"/>
      <c r="T17" s="5"/>
      <c r="U17" s="32">
        <f>+U15-U16</f>
        <v>-65.977011494252906</v>
      </c>
      <c r="V17" s="47"/>
      <c r="W17" s="33"/>
      <c r="X17" s="262" t="s">
        <v>59</v>
      </c>
      <c r="Z17" s="282">
        <v>43673</v>
      </c>
      <c r="AA17" s="317">
        <v>1</v>
      </c>
      <c r="AB17" s="281">
        <v>3</v>
      </c>
      <c r="AC17" s="174" t="s">
        <v>157</v>
      </c>
    </row>
    <row r="18" spans="1:29">
      <c r="H18" s="95"/>
      <c r="I18" s="25" t="s">
        <v>41</v>
      </c>
      <c r="J18" s="81" t="s">
        <v>112</v>
      </c>
      <c r="K18" s="228"/>
      <c r="L18" s="227">
        <f>+K18*3</f>
        <v>0</v>
      </c>
      <c r="M18" s="346"/>
      <c r="N18" s="345">
        <f>+M18*3</f>
        <v>0</v>
      </c>
      <c r="O18" s="28">
        <v>38</v>
      </c>
      <c r="P18" s="75">
        <f t="shared" si="0"/>
        <v>150</v>
      </c>
      <c r="Q18" s="218"/>
      <c r="R18" s="11">
        <f t="shared" si="1"/>
        <v>150</v>
      </c>
      <c r="S18" s="107"/>
      <c r="T18" s="5"/>
      <c r="U18" s="34">
        <v>150</v>
      </c>
      <c r="V18" s="38">
        <f>+U18-U17</f>
        <v>215.97701149425291</v>
      </c>
      <c r="W18" s="39" t="s">
        <v>63</v>
      </c>
      <c r="X18" s="263">
        <f>150-V18</f>
        <v>-65.977011494252906</v>
      </c>
      <c r="Z18" s="282">
        <f>1+Z17</f>
        <v>43674</v>
      </c>
      <c r="AA18" s="318">
        <v>1</v>
      </c>
      <c r="AB18" s="281">
        <v>5</v>
      </c>
      <c r="AC18" s="33" t="s">
        <v>156</v>
      </c>
    </row>
    <row r="19" spans="1:29">
      <c r="A19" s="215"/>
      <c r="H19" s="83"/>
      <c r="I19" s="126" t="s">
        <v>71</v>
      </c>
      <c r="J19" s="80" t="s">
        <v>139</v>
      </c>
      <c r="K19" s="226"/>
      <c r="L19" s="227">
        <f>5*K19</f>
        <v>0</v>
      </c>
      <c r="M19" s="344"/>
      <c r="N19" s="345">
        <f>5*M19</f>
        <v>0</v>
      </c>
      <c r="O19" s="76"/>
      <c r="P19" s="75">
        <f t="shared" si="0"/>
        <v>0</v>
      </c>
      <c r="Q19" s="217"/>
      <c r="R19" s="11">
        <f t="shared" si="1"/>
        <v>0</v>
      </c>
      <c r="S19" s="106"/>
      <c r="T19" s="5"/>
      <c r="U19" s="10"/>
      <c r="X19" s="37"/>
      <c r="Z19" s="282">
        <f t="shared" ref="Z19:Z27" si="2">1+Z18</f>
        <v>43675</v>
      </c>
      <c r="AA19" s="318">
        <v>1</v>
      </c>
      <c r="AB19" s="281">
        <v>5</v>
      </c>
      <c r="AC19" s="33" t="s">
        <v>151</v>
      </c>
    </row>
    <row r="20" spans="1:29">
      <c r="A20" s="215"/>
      <c r="H20" s="141"/>
      <c r="I20" s="25" t="s">
        <v>28</v>
      </c>
      <c r="J20" s="81" t="s">
        <v>122</v>
      </c>
      <c r="K20" s="228"/>
      <c r="L20" s="227">
        <f>+K20*3</f>
        <v>0</v>
      </c>
      <c r="M20" s="346"/>
      <c r="N20" s="345">
        <f>+M20*3</f>
        <v>0</v>
      </c>
      <c r="O20" s="74">
        <v>1</v>
      </c>
      <c r="P20" s="75">
        <f t="shared" si="0"/>
        <v>6</v>
      </c>
      <c r="Q20" s="217"/>
      <c r="R20" s="9">
        <f t="shared" si="1"/>
        <v>6</v>
      </c>
      <c r="S20" s="107"/>
      <c r="T20" s="5"/>
      <c r="U20" s="258">
        <v>900</v>
      </c>
      <c r="V20" s="259">
        <f>+U20*0.13</f>
        <v>117</v>
      </c>
      <c r="W20" s="327">
        <f>+V20+U20</f>
        <v>1017</v>
      </c>
      <c r="X20" s="100"/>
      <c r="Y20" s="266"/>
      <c r="Z20" s="282">
        <f t="shared" si="2"/>
        <v>43676</v>
      </c>
      <c r="AA20" s="318">
        <v>1</v>
      </c>
      <c r="AB20" s="281">
        <v>2</v>
      </c>
      <c r="AC20" s="33" t="s">
        <v>152</v>
      </c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347"/>
      <c r="N21" s="348">
        <f>5*M21</f>
        <v>0</v>
      </c>
      <c r="O21" s="277"/>
      <c r="P21" s="278">
        <f t="shared" si="0"/>
        <v>0</v>
      </c>
      <c r="Q21" s="279"/>
      <c r="R21" s="278">
        <f t="shared" si="1"/>
        <v>0</v>
      </c>
      <c r="S21" s="280"/>
      <c r="T21" s="5"/>
      <c r="U21" s="326">
        <f>+V21+W21</f>
        <v>802.83185840707961</v>
      </c>
      <c r="V21" s="256">
        <f>+V20*W21/W20</f>
        <v>82.83185840707965</v>
      </c>
      <c r="W21" s="261">
        <v>720</v>
      </c>
      <c r="X21" s="36" t="s">
        <v>350</v>
      </c>
      <c r="Z21" s="282">
        <f t="shared" si="2"/>
        <v>43677</v>
      </c>
      <c r="AA21" s="318"/>
      <c r="AB21" s="281"/>
      <c r="AC21" s="33" t="s">
        <v>153</v>
      </c>
    </row>
    <row r="22" spans="1:29">
      <c r="A22" s="215"/>
      <c r="H22" s="142"/>
      <c r="I22" s="25" t="s">
        <v>4</v>
      </c>
      <c r="J22" s="81" t="s">
        <v>111</v>
      </c>
      <c r="K22" s="228"/>
      <c r="L22" s="227">
        <v>0</v>
      </c>
      <c r="M22" s="346"/>
      <c r="N22" s="345">
        <f>+M22*3</f>
        <v>0</v>
      </c>
      <c r="O22" s="28">
        <v>29</v>
      </c>
      <c r="P22" s="75">
        <f t="shared" si="0"/>
        <v>150</v>
      </c>
      <c r="Q22" s="218"/>
      <c r="R22" s="11">
        <f t="shared" si="1"/>
        <v>150</v>
      </c>
      <c r="S22" s="107"/>
      <c r="T22" s="5"/>
      <c r="U22" s="32">
        <f>+U20-U21</f>
        <v>97.168141592920392</v>
      </c>
      <c r="V22" s="47"/>
      <c r="W22" s="33"/>
      <c r="X22" s="262" t="s">
        <v>59</v>
      </c>
      <c r="Z22" s="282">
        <f t="shared" si="2"/>
        <v>43678</v>
      </c>
      <c r="AA22" s="318"/>
      <c r="AB22" s="281"/>
      <c r="AC22" s="33" t="s">
        <v>154</v>
      </c>
    </row>
    <row r="23" spans="1:29">
      <c r="A23" s="215"/>
      <c r="H23" s="142"/>
      <c r="I23" s="25" t="s">
        <v>9</v>
      </c>
      <c r="J23" s="81" t="s">
        <v>128</v>
      </c>
      <c r="K23" s="228"/>
      <c r="L23" s="227">
        <v>0</v>
      </c>
      <c r="M23" s="346"/>
      <c r="N23" s="345">
        <f>+M23*3</f>
        <v>0</v>
      </c>
      <c r="O23" s="28"/>
      <c r="P23" s="75">
        <f t="shared" si="0"/>
        <v>0</v>
      </c>
      <c r="Q23" s="218"/>
      <c r="R23" s="11">
        <f t="shared" si="1"/>
        <v>0</v>
      </c>
      <c r="S23" s="107"/>
      <c r="T23" s="5"/>
      <c r="U23" s="34">
        <v>150</v>
      </c>
      <c r="V23" s="38">
        <f>+U23-U22</f>
        <v>52.831858407079608</v>
      </c>
      <c r="W23" s="39" t="s">
        <v>63</v>
      </c>
      <c r="X23" s="263">
        <f>150-V23</f>
        <v>97.168141592920392</v>
      </c>
      <c r="Z23" s="282">
        <f t="shared" si="2"/>
        <v>43679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346"/>
      <c r="N24" s="345">
        <v>0</v>
      </c>
      <c r="O24" s="28">
        <v>32</v>
      </c>
      <c r="P24" s="11">
        <f t="shared" si="0"/>
        <v>150</v>
      </c>
      <c r="Q24" s="218"/>
      <c r="R24" s="11">
        <f t="shared" si="1"/>
        <v>150</v>
      </c>
      <c r="S24" s="241"/>
      <c r="T24" s="5"/>
      <c r="U24" s="10"/>
      <c r="X24" s="37"/>
      <c r="Z24" s="282">
        <f t="shared" si="2"/>
        <v>43680</v>
      </c>
      <c r="AA24" s="318"/>
      <c r="AB24" s="281"/>
      <c r="AC24" s="61"/>
    </row>
    <row r="25" spans="1:29">
      <c r="H25" s="251" t="s">
        <v>50</v>
      </c>
      <c r="I25" s="275" t="s">
        <v>328</v>
      </c>
      <c r="J25" s="276" t="s">
        <v>329</v>
      </c>
      <c r="K25" s="277"/>
      <c r="L25" s="278">
        <v>0</v>
      </c>
      <c r="M25" s="347"/>
      <c r="N25" s="348">
        <v>0</v>
      </c>
      <c r="O25" s="277">
        <v>33</v>
      </c>
      <c r="P25" s="278">
        <f t="shared" si="0"/>
        <v>150</v>
      </c>
      <c r="Q25" s="279"/>
      <c r="R25" s="278">
        <f t="shared" si="1"/>
        <v>150</v>
      </c>
      <c r="S25" s="280"/>
      <c r="T25" s="5"/>
      <c r="Z25" s="282">
        <f t="shared" si="2"/>
        <v>43681</v>
      </c>
      <c r="AA25" s="318"/>
      <c r="AB25" s="281"/>
      <c r="AC25" s="61"/>
    </row>
    <row r="26" spans="1:29">
      <c r="A26" s="237"/>
      <c r="B26" s="237"/>
      <c r="C26" s="237"/>
      <c r="D26" s="238"/>
      <c r="E26" s="237"/>
      <c r="F26" s="239"/>
      <c r="G26" s="237"/>
      <c r="H26" s="142"/>
      <c r="I26" s="25" t="s">
        <v>51</v>
      </c>
      <c r="J26" s="96" t="s">
        <v>134</v>
      </c>
      <c r="K26" s="29"/>
      <c r="L26" s="27">
        <f>+K26*3</f>
        <v>0</v>
      </c>
      <c r="M26" s="346"/>
      <c r="N26" s="345">
        <f>+M26*3</f>
        <v>0</v>
      </c>
      <c r="O26" s="28">
        <v>34</v>
      </c>
      <c r="P26" s="11">
        <f t="shared" si="0"/>
        <v>150</v>
      </c>
      <c r="Q26" s="218"/>
      <c r="R26" s="240">
        <f t="shared" si="1"/>
        <v>150</v>
      </c>
      <c r="S26" s="241"/>
      <c r="T26" s="5"/>
      <c r="U26" s="332" t="s">
        <v>382</v>
      </c>
      <c r="Z26" s="282">
        <f t="shared" si="2"/>
        <v>43682</v>
      </c>
      <c r="AA26" s="318"/>
      <c r="AB26" s="281"/>
      <c r="AC26" s="65"/>
    </row>
    <row r="27" spans="1:29">
      <c r="A27" s="215"/>
      <c r="H27" s="242" t="s">
        <v>232</v>
      </c>
      <c r="I27" s="188" t="s">
        <v>61</v>
      </c>
      <c r="J27" s="189" t="s">
        <v>137</v>
      </c>
      <c r="K27" s="192"/>
      <c r="L27" s="193">
        <f>3*K27</f>
        <v>0</v>
      </c>
      <c r="M27" s="347"/>
      <c r="N27" s="348">
        <f>5*M27</f>
        <v>0</v>
      </c>
      <c r="O27" s="192"/>
      <c r="P27" s="193">
        <f t="shared" si="0"/>
        <v>0</v>
      </c>
      <c r="Q27" s="221"/>
      <c r="R27" s="329">
        <f t="shared" si="1"/>
        <v>0</v>
      </c>
      <c r="S27" s="106"/>
      <c r="T27" s="5"/>
      <c r="Z27" s="282">
        <f t="shared" si="2"/>
        <v>43683</v>
      </c>
      <c r="AA27" s="319"/>
      <c r="AB27" s="281"/>
      <c r="AC27" s="66"/>
    </row>
    <row r="28" spans="1:29">
      <c r="A28" s="215"/>
      <c r="H28" s="95"/>
      <c r="I28" s="25" t="s">
        <v>14</v>
      </c>
      <c r="J28" s="81" t="s">
        <v>125</v>
      </c>
      <c r="K28" s="228"/>
      <c r="L28" s="227">
        <f>+K28*3</f>
        <v>0</v>
      </c>
      <c r="M28" s="346"/>
      <c r="N28" s="345">
        <f>3*M28</f>
        <v>0</v>
      </c>
      <c r="O28" s="28"/>
      <c r="P28" s="75">
        <f t="shared" si="0"/>
        <v>0</v>
      </c>
      <c r="Q28" s="218"/>
      <c r="R28" s="11">
        <f t="shared" si="1"/>
        <v>0</v>
      </c>
      <c r="S28" s="107"/>
      <c r="T28" s="5"/>
      <c r="U28" s="287" t="s">
        <v>347</v>
      </c>
      <c r="Z28" s="314" t="s">
        <v>150</v>
      </c>
      <c r="AA28" s="315">
        <f>SUM(AA17:AA27)</f>
        <v>4</v>
      </c>
      <c r="AB28" s="316" t="s">
        <v>148</v>
      </c>
      <c r="AC28" s="68"/>
    </row>
    <row r="29" spans="1:29">
      <c r="A29" s="215"/>
      <c r="H29" s="83"/>
      <c r="I29" s="126" t="s">
        <v>79</v>
      </c>
      <c r="J29" s="82" t="s">
        <v>110</v>
      </c>
      <c r="K29" s="228"/>
      <c r="L29" s="227">
        <v>0</v>
      </c>
      <c r="M29" s="346"/>
      <c r="N29" s="345">
        <v>0</v>
      </c>
      <c r="O29" s="76">
        <v>28</v>
      </c>
      <c r="P29" s="75">
        <f t="shared" si="0"/>
        <v>150</v>
      </c>
      <c r="Q29" s="217"/>
      <c r="R29" s="11">
        <f t="shared" si="1"/>
        <v>150</v>
      </c>
      <c r="S29" s="106"/>
      <c r="T29" s="5"/>
      <c r="Z29" s="184"/>
      <c r="AA29" s="171">
        <f>SUM(AB17:AB27)</f>
        <v>15</v>
      </c>
      <c r="AB29" s="185" t="s">
        <v>149</v>
      </c>
      <c r="AC29" s="69"/>
    </row>
    <row r="30" spans="1:29" ht="16.5">
      <c r="H30" s="83"/>
      <c r="I30" s="269" t="s">
        <v>214</v>
      </c>
      <c r="J30" s="270" t="s">
        <v>215</v>
      </c>
      <c r="K30" s="271"/>
      <c r="L30" s="272">
        <v>0</v>
      </c>
      <c r="M30" s="346"/>
      <c r="N30" s="345">
        <f>3*M30</f>
        <v>0</v>
      </c>
      <c r="O30" s="271"/>
      <c r="P30" s="272">
        <f t="shared" si="0"/>
        <v>0</v>
      </c>
      <c r="Q30" s="273"/>
      <c r="R30" s="272">
        <f t="shared" si="1"/>
        <v>0</v>
      </c>
      <c r="S30" s="274"/>
      <c r="T30" s="5"/>
      <c r="Z30" s="186" t="s">
        <v>160</v>
      </c>
      <c r="AA30" s="284">
        <f>+AA29/AA28</f>
        <v>3.75</v>
      </c>
      <c r="AB30" s="173" t="s">
        <v>150</v>
      </c>
      <c r="AC30" s="65"/>
    </row>
    <row r="31" spans="1:29">
      <c r="A31" s="237"/>
      <c r="B31" s="237"/>
      <c r="C31" s="237"/>
      <c r="D31" s="238"/>
      <c r="E31" s="237"/>
      <c r="F31" s="239"/>
      <c r="G31" s="237"/>
      <c r="H31" s="142"/>
      <c r="I31" s="25" t="s">
        <v>45</v>
      </c>
      <c r="J31" s="96" t="s">
        <v>133</v>
      </c>
      <c r="K31" s="29"/>
      <c r="L31" s="27">
        <f>+K31*3</f>
        <v>0</v>
      </c>
      <c r="M31" s="346"/>
      <c r="N31" s="345">
        <f>+M31*3</f>
        <v>0</v>
      </c>
      <c r="O31" s="28">
        <v>29</v>
      </c>
      <c r="P31" s="11">
        <f t="shared" si="0"/>
        <v>150</v>
      </c>
      <c r="Q31" s="218"/>
      <c r="R31" s="240">
        <f t="shared" si="1"/>
        <v>150</v>
      </c>
      <c r="S31" s="241"/>
      <c r="T31" s="5"/>
      <c r="W31">
        <v>335.21</v>
      </c>
    </row>
    <row r="32" spans="1:29">
      <c r="A32" s="215"/>
      <c r="H32" s="142"/>
      <c r="I32" s="25" t="s">
        <v>13</v>
      </c>
      <c r="J32" s="81" t="s">
        <v>319</v>
      </c>
      <c r="K32" s="228"/>
      <c r="L32" s="227">
        <f>3*K32</f>
        <v>0</v>
      </c>
      <c r="M32" s="346"/>
      <c r="N32" s="345">
        <f>5*M32</f>
        <v>0</v>
      </c>
      <c r="O32" s="28">
        <v>29</v>
      </c>
      <c r="P32" s="75">
        <f t="shared" si="0"/>
        <v>150</v>
      </c>
      <c r="Q32" s="218"/>
      <c r="R32" s="57">
        <f t="shared" si="1"/>
        <v>150</v>
      </c>
      <c r="S32" s="107"/>
      <c r="T32" s="5"/>
      <c r="W32">
        <v>134.09</v>
      </c>
    </row>
    <row r="33" spans="1:32">
      <c r="A33" s="215"/>
      <c r="H33" s="95"/>
      <c r="I33" s="25" t="s">
        <v>31</v>
      </c>
      <c r="J33" s="81" t="s">
        <v>127</v>
      </c>
      <c r="K33" s="228"/>
      <c r="L33" s="227">
        <v>0</v>
      </c>
      <c r="M33" s="346"/>
      <c r="N33" s="345">
        <f>3*M33</f>
        <v>0</v>
      </c>
      <c r="O33" s="28">
        <v>29</v>
      </c>
      <c r="P33" s="75">
        <f t="shared" si="0"/>
        <v>150</v>
      </c>
      <c r="Q33" s="218"/>
      <c r="R33" s="11">
        <f t="shared" si="1"/>
        <v>150</v>
      </c>
      <c r="S33" s="107"/>
      <c r="T33" s="5"/>
      <c r="W33" s="103">
        <f>+W32+W31</f>
        <v>469.29999999999995</v>
      </c>
    </row>
    <row r="34" spans="1:32" s="4" customFormat="1">
      <c r="A34" s="215"/>
      <c r="B34"/>
      <c r="C34"/>
      <c r="D34" s="1"/>
      <c r="E34"/>
      <c r="F34" s="2"/>
      <c r="G34"/>
      <c r="H34" s="95"/>
      <c r="I34" s="25" t="s">
        <v>30</v>
      </c>
      <c r="J34" s="81" t="s">
        <v>126</v>
      </c>
      <c r="K34" s="228"/>
      <c r="L34" s="227">
        <f>+K34*3</f>
        <v>0</v>
      </c>
      <c r="M34" s="346"/>
      <c r="N34" s="345">
        <f>+M34*3</f>
        <v>0</v>
      </c>
      <c r="O34" s="28">
        <v>36</v>
      </c>
      <c r="P34" s="75">
        <f t="shared" si="0"/>
        <v>150</v>
      </c>
      <c r="Q34" s="218"/>
      <c r="R34" s="320">
        <f t="shared" si="1"/>
        <v>150</v>
      </c>
      <c r="S34" s="107"/>
      <c r="T34" s="5"/>
      <c r="U34"/>
      <c r="V34" s="46"/>
      <c r="W34"/>
      <c r="X34"/>
      <c r="Y34"/>
      <c r="Z34"/>
      <c r="AA34"/>
      <c r="AB34"/>
      <c r="AC34"/>
      <c r="AD34"/>
      <c r="AE34"/>
      <c r="AF34"/>
    </row>
    <row r="35" spans="1:32">
      <c r="A35" s="215"/>
      <c r="H35" s="83"/>
      <c r="I35" s="269" t="s">
        <v>186</v>
      </c>
      <c r="J35" s="270" t="s">
        <v>187</v>
      </c>
      <c r="K35" s="271"/>
      <c r="L35" s="272">
        <v>0</v>
      </c>
      <c r="M35" s="346"/>
      <c r="N35" s="345">
        <f>5*M35</f>
        <v>0</v>
      </c>
      <c r="O35" s="271"/>
      <c r="P35" s="272">
        <f t="shared" si="0"/>
        <v>0</v>
      </c>
      <c r="Q35" s="273"/>
      <c r="R35" s="272">
        <f t="shared" si="1"/>
        <v>0</v>
      </c>
      <c r="S35" s="274"/>
      <c r="T35" s="5"/>
    </row>
    <row r="36" spans="1:32">
      <c r="A36" s="215"/>
      <c r="H36" s="83"/>
      <c r="I36" s="25" t="s">
        <v>17</v>
      </c>
      <c r="J36" s="81" t="s">
        <v>123</v>
      </c>
      <c r="K36" s="228"/>
      <c r="L36" s="227">
        <f>+K36*3</f>
        <v>0</v>
      </c>
      <c r="M36" s="346"/>
      <c r="N36" s="345">
        <v>0</v>
      </c>
      <c r="O36" s="74">
        <v>26</v>
      </c>
      <c r="P36" s="75">
        <f t="shared" si="0"/>
        <v>150</v>
      </c>
      <c r="Q36" s="218"/>
      <c r="R36" s="11">
        <f t="shared" si="1"/>
        <v>150</v>
      </c>
      <c r="S36" s="107"/>
      <c r="T36" s="5"/>
    </row>
    <row r="37" spans="1:32">
      <c r="A37" s="215"/>
      <c r="H37" s="83"/>
      <c r="I37" s="25" t="s">
        <v>60</v>
      </c>
      <c r="J37" s="81" t="s">
        <v>132</v>
      </c>
      <c r="K37" s="228"/>
      <c r="L37" s="227">
        <v>0</v>
      </c>
      <c r="M37" s="346"/>
      <c r="N37" s="345">
        <v>0</v>
      </c>
      <c r="O37" s="74"/>
      <c r="P37" s="75">
        <f>IF(O37&gt;25,150,(O37)*6)</f>
        <v>0</v>
      </c>
      <c r="Q37" s="218"/>
      <c r="R37" s="11">
        <f>+L37+N37+P37+Q37</f>
        <v>0</v>
      </c>
      <c r="S37" s="107"/>
      <c r="T37" s="5"/>
    </row>
    <row r="38" spans="1:32">
      <c r="H38" s="142"/>
      <c r="I38" s="25" t="s">
        <v>233</v>
      </c>
      <c r="J38" s="81" t="s">
        <v>234</v>
      </c>
      <c r="K38" s="228"/>
      <c r="L38" s="227">
        <v>0</v>
      </c>
      <c r="M38" s="346"/>
      <c r="N38" s="345">
        <f>+M38*5</f>
        <v>0</v>
      </c>
      <c r="O38" s="28"/>
      <c r="P38" s="75">
        <f t="shared" si="0"/>
        <v>0</v>
      </c>
      <c r="Q38" s="218"/>
      <c r="R38" s="57">
        <f t="shared" si="1"/>
        <v>0</v>
      </c>
      <c r="S38" s="107"/>
      <c r="T38" s="5"/>
      <c r="AF38" s="4"/>
    </row>
    <row r="39" spans="1:32">
      <c r="A39" s="215"/>
      <c r="H39" s="95"/>
      <c r="I39" s="25" t="s">
        <v>8</v>
      </c>
      <c r="J39" s="81" t="s">
        <v>120</v>
      </c>
      <c r="K39" s="228"/>
      <c r="L39" s="227">
        <v>0</v>
      </c>
      <c r="M39" s="346"/>
      <c r="N39" s="345">
        <v>0</v>
      </c>
      <c r="O39" s="28"/>
      <c r="P39" s="75">
        <f t="shared" si="0"/>
        <v>0</v>
      </c>
      <c r="Q39" s="218"/>
      <c r="R39" s="11">
        <f t="shared" si="1"/>
        <v>0</v>
      </c>
      <c r="S39" s="107"/>
      <c r="T39" s="5"/>
    </row>
    <row r="40" spans="1:32">
      <c r="A40" s="215"/>
      <c r="H40" s="83"/>
      <c r="I40" s="25" t="s">
        <v>11</v>
      </c>
      <c r="J40" s="96" t="s">
        <v>130</v>
      </c>
      <c r="K40" s="228"/>
      <c r="L40" s="227">
        <f>+K40*3</f>
        <v>0</v>
      </c>
      <c r="M40" s="346"/>
      <c r="N40" s="345">
        <f>+M40*3</f>
        <v>0</v>
      </c>
      <c r="O40" s="74">
        <v>31</v>
      </c>
      <c r="P40" s="75">
        <f t="shared" si="0"/>
        <v>150</v>
      </c>
      <c r="Q40" s="220"/>
      <c r="R40" s="11">
        <f t="shared" si="1"/>
        <v>150</v>
      </c>
      <c r="S40" s="107"/>
      <c r="T40" s="5"/>
    </row>
    <row r="41" spans="1:32">
      <c r="H41" s="83"/>
      <c r="I41" s="25" t="s">
        <v>44</v>
      </c>
      <c r="J41" s="96" t="s">
        <v>124</v>
      </c>
      <c r="K41" s="228"/>
      <c r="L41" s="227">
        <f>+K41*3</f>
        <v>0</v>
      </c>
      <c r="M41" s="346"/>
      <c r="N41" s="345">
        <f>+M41*3</f>
        <v>0</v>
      </c>
      <c r="O41" s="113"/>
      <c r="P41" s="75">
        <f t="shared" si="0"/>
        <v>0</v>
      </c>
      <c r="Q41" s="218"/>
      <c r="R41" s="11">
        <f t="shared" si="1"/>
        <v>0</v>
      </c>
      <c r="S41" s="107"/>
      <c r="T41" s="5"/>
    </row>
    <row r="42" spans="1:32">
      <c r="H42" s="83"/>
      <c r="I42" s="25" t="s">
        <v>6</v>
      </c>
      <c r="J42" s="96" t="s">
        <v>116</v>
      </c>
      <c r="K42" s="228"/>
      <c r="L42" s="227">
        <f>+K42*3</f>
        <v>0</v>
      </c>
      <c r="M42" s="346"/>
      <c r="N42" s="345">
        <f>+M42*3</f>
        <v>0</v>
      </c>
      <c r="O42" s="74">
        <v>18</v>
      </c>
      <c r="P42" s="75">
        <f t="shared" si="0"/>
        <v>108</v>
      </c>
      <c r="Q42" s="220"/>
      <c r="R42" s="11">
        <f t="shared" si="1"/>
        <v>108</v>
      </c>
      <c r="S42" s="107"/>
      <c r="T42" s="5"/>
    </row>
    <row r="43" spans="1:32">
      <c r="H43" s="95"/>
      <c r="I43" s="25" t="s">
        <v>53</v>
      </c>
      <c r="J43" s="81" t="s">
        <v>135</v>
      </c>
      <c r="K43" s="228"/>
      <c r="L43" s="227">
        <v>0</v>
      </c>
      <c r="M43" s="346"/>
      <c r="N43" s="345">
        <v>0</v>
      </c>
      <c r="O43" s="28">
        <v>28</v>
      </c>
      <c r="P43" s="75">
        <f t="shared" si="0"/>
        <v>150</v>
      </c>
      <c r="Q43" s="218"/>
      <c r="R43" s="11">
        <f t="shared" si="1"/>
        <v>150</v>
      </c>
      <c r="S43" s="107"/>
      <c r="T43" s="5"/>
    </row>
    <row r="44" spans="1:32">
      <c r="H44" s="242" t="s">
        <v>232</v>
      </c>
      <c r="I44" s="336" t="s">
        <v>12</v>
      </c>
      <c r="J44" s="337" t="s">
        <v>114</v>
      </c>
      <c r="K44" s="338"/>
      <c r="L44" s="339">
        <v>0</v>
      </c>
      <c r="M44" s="349"/>
      <c r="N44" s="350">
        <f>3*M44</f>
        <v>0</v>
      </c>
      <c r="O44" s="338">
        <v>27</v>
      </c>
      <c r="P44" s="339">
        <f t="shared" si="0"/>
        <v>150</v>
      </c>
      <c r="Q44" s="340"/>
      <c r="R44" s="341">
        <f t="shared" si="1"/>
        <v>150</v>
      </c>
      <c r="S44" s="148"/>
      <c r="T44" s="5"/>
    </row>
    <row r="45" spans="1:32">
      <c r="I45" s="13"/>
      <c r="J45" s="14"/>
      <c r="K45" s="234">
        <f t="shared" ref="K45:S45" si="3">SUM(K5:K44)</f>
        <v>0</v>
      </c>
      <c r="L45" s="235">
        <f t="shared" si="3"/>
        <v>0</v>
      </c>
      <c r="M45" s="167">
        <f t="shared" si="3"/>
        <v>0</v>
      </c>
      <c r="N45" s="168">
        <f t="shared" si="3"/>
        <v>0</v>
      </c>
      <c r="O45" s="77">
        <f t="shared" si="3"/>
        <v>619</v>
      </c>
      <c r="P45" s="78">
        <f t="shared" si="3"/>
        <v>2970</v>
      </c>
      <c r="Q45" s="323">
        <f t="shared" si="3"/>
        <v>0</v>
      </c>
      <c r="R45" s="78">
        <f t="shared" si="3"/>
        <v>2970</v>
      </c>
      <c r="S45" s="102">
        <f t="shared" si="3"/>
        <v>0</v>
      </c>
      <c r="T45" s="5"/>
    </row>
    <row r="46" spans="1:32">
      <c r="J46" s="200">
        <f ca="1">TODAY()</f>
        <v>43825</v>
      </c>
      <c r="K46" s="41"/>
      <c r="M46" s="42"/>
      <c r="N46" s="41"/>
      <c r="O46" s="45" t="s">
        <v>81</v>
      </c>
      <c r="Q46" s="42"/>
      <c r="R46" s="45">
        <f>+R8+R11+R16+R21+R25+R27+R44</f>
        <v>300</v>
      </c>
      <c r="T46" s="5"/>
      <c r="AC46">
        <v>4</v>
      </c>
    </row>
    <row r="47" spans="1:32" ht="15" customHeight="1">
      <c r="L47" s="43"/>
      <c r="M47" s="44"/>
      <c r="N47" s="125"/>
      <c r="O47" s="43" t="s">
        <v>91</v>
      </c>
      <c r="P47" s="114">
        <v>2622</v>
      </c>
      <c r="Q47" s="110" t="s">
        <v>58</v>
      </c>
      <c r="R47" s="111">
        <f>+R45-R46</f>
        <v>2670</v>
      </c>
      <c r="S47" s="10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30" t="s">
        <v>403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31" t="s">
        <v>404</v>
      </c>
      <c r="P50" s="19"/>
      <c r="T50" s="5"/>
    </row>
    <row r="51" spans="9:29">
      <c r="I51" s="330" t="s">
        <v>405</v>
      </c>
      <c r="P51" s="19"/>
      <c r="T51" s="5"/>
    </row>
    <row r="52" spans="9:29">
      <c r="I52" s="330" t="s">
        <v>406</v>
      </c>
      <c r="P52" s="19"/>
      <c r="T52" s="5"/>
      <c r="V52" s="59"/>
      <c r="W52" s="60"/>
      <c r="X52" s="61"/>
    </row>
    <row r="53" spans="9:29">
      <c r="I53" s="330" t="s">
        <v>407</v>
      </c>
      <c r="P53" s="19"/>
      <c r="U53" s="58"/>
      <c r="V53" s="59"/>
      <c r="W53" s="60"/>
      <c r="X53" s="61"/>
    </row>
    <row r="54" spans="9:29">
      <c r="I54" s="330" t="s">
        <v>408</v>
      </c>
      <c r="U54" s="58"/>
      <c r="V54" s="59"/>
      <c r="W54" s="62"/>
      <c r="X54" s="65"/>
    </row>
    <row r="55" spans="9:29">
      <c r="I55" s="330"/>
      <c r="U55" s="58"/>
      <c r="V55" s="59"/>
      <c r="W55" s="67"/>
      <c r="X55" s="60"/>
    </row>
    <row r="56" spans="9:29">
      <c r="I56" s="330"/>
      <c r="U56" s="58"/>
      <c r="V56" s="59"/>
      <c r="W56" s="60"/>
      <c r="X56" s="60"/>
    </row>
    <row r="57" spans="9:29">
      <c r="U57" s="58"/>
      <c r="V57" s="59"/>
      <c r="W57" s="60"/>
      <c r="X57" s="68"/>
    </row>
    <row r="58" spans="9:29">
      <c r="U58" s="58"/>
      <c r="V58" s="59"/>
      <c r="W58" s="60"/>
      <c r="X58" s="69"/>
    </row>
    <row r="59" spans="9:29">
      <c r="U59" s="58"/>
      <c r="V59" s="59"/>
      <c r="W59" s="60"/>
      <c r="X59" s="60"/>
    </row>
    <row r="60" spans="9:29">
      <c r="U60" s="58"/>
      <c r="V60" s="59"/>
      <c r="W60" s="60"/>
      <c r="X60" s="60"/>
    </row>
    <row r="61" spans="9:29">
      <c r="U61" s="58"/>
      <c r="V61" s="59"/>
      <c r="W61" s="62"/>
      <c r="X61" s="60"/>
    </row>
    <row r="62" spans="9:29">
      <c r="U62" s="58"/>
      <c r="V62" s="59"/>
      <c r="W62" s="62"/>
      <c r="X62" s="60"/>
    </row>
    <row r="63" spans="9:29">
      <c r="U63" s="64"/>
      <c r="V63" s="59"/>
      <c r="W63" s="60"/>
      <c r="X63" s="60"/>
    </row>
    <row r="64" spans="9:29">
      <c r="U64" s="58"/>
      <c r="V64" s="66"/>
      <c r="W64" s="67"/>
      <c r="X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  <row r="68" spans="21:23">
      <c r="U68" s="60"/>
      <c r="V68" s="59"/>
      <c r="W68" s="60"/>
    </row>
    <row r="69" spans="21:23">
      <c r="U69" s="60"/>
      <c r="V69" s="59"/>
      <c r="W69" s="60"/>
    </row>
    <row r="70" spans="21:23">
      <c r="U70" s="60"/>
      <c r="V70" s="59"/>
      <c r="W70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94" priority="4" operator="lessThanOrEqual">
      <formula>0</formula>
    </cfRule>
  </conditionalFormatting>
  <conditionalFormatting sqref="R5:R44">
    <cfRule type="cellIs" dxfId="93" priority="3" operator="greaterThan">
      <formula>0</formula>
    </cfRule>
  </conditionalFormatting>
  <conditionalFormatting sqref="R44">
    <cfRule type="cellIs" dxfId="92" priority="2" operator="greaterThan">
      <formula>0</formula>
    </cfRule>
  </conditionalFormatting>
  <conditionalFormatting sqref="R27">
    <cfRule type="cellIs" dxfId="91" priority="1" operator="greaterThan">
      <formula>0</formula>
    </cfRule>
  </conditionalFormatting>
  <printOptions horizontalCentered="1"/>
  <pageMargins left="0" right="0" top="0.47244094488188981" bottom="0" header="0" footer="0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70"/>
  <sheetViews>
    <sheetView zoomScale="85" zoomScaleNormal="85" workbookViewId="0">
      <pane xSplit="10" ySplit="4" topLeftCell="K46" activePane="bottomRight" state="frozen"/>
      <selection pane="topRight" activeCell="K1" sqref="K1"/>
      <selection pane="bottomLeft" activeCell="A5" sqref="A5"/>
      <selection pane="bottomRight" activeCell="H68" sqref="H68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.7109375" customWidth="1"/>
    <col min="9" max="9" width="7.42578125" customWidth="1"/>
    <col min="10" max="10" width="25.7109375" customWidth="1"/>
    <col min="11" max="11" width="1.7109375" customWidth="1"/>
    <col min="12" max="12" width="1.5703125" customWidth="1"/>
    <col min="13" max="13" width="5.7109375" customWidth="1"/>
    <col min="14" max="14" width="7.7109375" customWidth="1"/>
    <col min="15" max="15" width="6.85546875" customWidth="1"/>
    <col min="16" max="16" width="12.140625" customWidth="1"/>
    <col min="17" max="17" width="7.7109375" customWidth="1"/>
    <col min="18" max="18" width="15.7109375" customWidth="1"/>
    <col min="19" max="19" width="3.7109375" style="103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 ht="14.1" customHeight="1">
      <c r="H2" s="83"/>
      <c r="I2" s="429" t="s">
        <v>400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342" t="s">
        <v>15</v>
      </c>
      <c r="N4" s="343" t="s">
        <v>399</v>
      </c>
      <c r="O4" s="87" t="s">
        <v>15</v>
      </c>
      <c r="P4" s="87" t="s">
        <v>401</v>
      </c>
      <c r="Q4" s="99" t="s">
        <v>402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344"/>
      <c r="N5" s="345">
        <v>0</v>
      </c>
      <c r="O5" s="76">
        <v>34</v>
      </c>
      <c r="P5" s="75">
        <f t="shared" ref="P5:P44" si="0">IF(O5&gt;25,150,(O5)*6)</f>
        <v>150</v>
      </c>
      <c r="Q5" s="217"/>
      <c r="R5" s="11">
        <f t="shared" ref="R5:R44" si="1">+L5+N5+P5+Q5</f>
        <v>150</v>
      </c>
      <c r="S5" s="106"/>
      <c r="T5" s="5"/>
      <c r="U5" s="258">
        <v>815.2</v>
      </c>
      <c r="V5" s="259">
        <v>94</v>
      </c>
      <c r="W5" s="260">
        <v>721.2</v>
      </c>
      <c r="X5" s="333" t="s">
        <v>215</v>
      </c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344"/>
      <c r="N6" s="345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26">
        <f>+V6+W6</f>
        <v>813.84359400998335</v>
      </c>
      <c r="V6" s="256">
        <f>+V5*W6/W5</f>
        <v>93.843594009983349</v>
      </c>
      <c r="W6" s="261">
        <v>720</v>
      </c>
      <c r="X6" s="334" t="s">
        <v>381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346"/>
      <c r="N7" s="345">
        <v>0</v>
      </c>
      <c r="O7" s="74">
        <v>20</v>
      </c>
      <c r="P7" s="75">
        <f t="shared" si="0"/>
        <v>120</v>
      </c>
      <c r="Q7" s="218"/>
      <c r="R7" s="9">
        <f t="shared" si="1"/>
        <v>120</v>
      </c>
      <c r="S7" s="106"/>
      <c r="T7" s="5"/>
      <c r="U7" s="32">
        <f>+U5-U6+0.01</f>
        <v>1.3664059900166967</v>
      </c>
      <c r="V7" s="47"/>
      <c r="W7" s="33"/>
      <c r="X7" s="262" t="s">
        <v>59</v>
      </c>
    </row>
    <row r="8" spans="8:29">
      <c r="H8" s="251" t="s">
        <v>50</v>
      </c>
      <c r="I8" s="275" t="s">
        <v>387</v>
      </c>
      <c r="J8" s="276" t="s">
        <v>388</v>
      </c>
      <c r="K8" s="277"/>
      <c r="L8" s="278">
        <v>0</v>
      </c>
      <c r="M8" s="347"/>
      <c r="N8" s="348">
        <v>0</v>
      </c>
      <c r="O8" s="277">
        <v>14</v>
      </c>
      <c r="P8" s="278">
        <f t="shared" si="0"/>
        <v>84</v>
      </c>
      <c r="Q8" s="279"/>
      <c r="R8" s="278">
        <f t="shared" si="1"/>
        <v>84</v>
      </c>
      <c r="S8" s="280"/>
      <c r="T8" s="5"/>
      <c r="U8" s="34">
        <v>150</v>
      </c>
      <c r="V8" s="335">
        <f>+U8-U7</f>
        <v>148.63359400998331</v>
      </c>
      <c r="W8" s="39" t="s">
        <v>63</v>
      </c>
      <c r="X8" s="263">
        <f>150-V8</f>
        <v>1.3664059900166876</v>
      </c>
    </row>
    <row r="9" spans="8:29">
      <c r="H9" s="83"/>
      <c r="I9" s="25" t="s">
        <v>2</v>
      </c>
      <c r="J9" s="81" t="s">
        <v>107</v>
      </c>
      <c r="K9" s="228"/>
      <c r="L9" s="227">
        <f>+K9*3</f>
        <v>0</v>
      </c>
      <c r="M9" s="346"/>
      <c r="N9" s="345">
        <f>+M9*3</f>
        <v>0</v>
      </c>
      <c r="O9" s="74">
        <v>14</v>
      </c>
      <c r="P9" s="75">
        <f t="shared" si="0"/>
        <v>84</v>
      </c>
      <c r="Q9" s="218"/>
      <c r="R9" s="9">
        <f t="shared" si="1"/>
        <v>84</v>
      </c>
      <c r="S9" s="138"/>
      <c r="T9" s="5"/>
      <c r="U9" s="10"/>
      <c r="X9" s="37"/>
    </row>
    <row r="10" spans="8:29" ht="15" customHeight="1">
      <c r="H10" s="95"/>
      <c r="I10" s="25" t="s">
        <v>42</v>
      </c>
      <c r="J10" s="81" t="s">
        <v>119</v>
      </c>
      <c r="K10" s="228"/>
      <c r="L10" s="227">
        <f>+K10*3</f>
        <v>0</v>
      </c>
      <c r="M10" s="346"/>
      <c r="N10" s="345">
        <f>+M10*3</f>
        <v>0</v>
      </c>
      <c r="O10" s="28"/>
      <c r="P10" s="75">
        <f t="shared" si="0"/>
        <v>0</v>
      </c>
      <c r="Q10" s="218"/>
      <c r="R10" s="11">
        <f t="shared" si="1"/>
        <v>0</v>
      </c>
      <c r="S10" s="107"/>
      <c r="T10" s="5"/>
      <c r="U10" s="258">
        <v>988</v>
      </c>
      <c r="V10" s="259">
        <v>118.76</v>
      </c>
      <c r="W10" s="260">
        <v>869.24</v>
      </c>
      <c r="X10" s="333" t="s">
        <v>349</v>
      </c>
      <c r="Y10" s="266"/>
    </row>
    <row r="11" spans="8:29">
      <c r="H11" s="251" t="s">
        <v>50</v>
      </c>
      <c r="I11" s="275" t="s">
        <v>1</v>
      </c>
      <c r="J11" s="276" t="s">
        <v>106</v>
      </c>
      <c r="K11" s="277"/>
      <c r="L11" s="278">
        <f>3*K11</f>
        <v>0</v>
      </c>
      <c r="M11" s="347"/>
      <c r="N11" s="348">
        <f>3*M11</f>
        <v>0</v>
      </c>
      <c r="O11" s="277"/>
      <c r="P11" s="278">
        <f t="shared" si="0"/>
        <v>0</v>
      </c>
      <c r="Q11" s="279"/>
      <c r="R11" s="278">
        <f t="shared" si="1"/>
        <v>0</v>
      </c>
      <c r="S11" s="280"/>
      <c r="T11" s="5"/>
      <c r="U11" s="326">
        <f>+V11+W11</f>
        <v>935.44245547834896</v>
      </c>
      <c r="V11" s="256">
        <f>+V10*W11/W10</f>
        <v>112.44245547834892</v>
      </c>
      <c r="W11" s="261">
        <v>823</v>
      </c>
      <c r="X11" s="334" t="s">
        <v>348</v>
      </c>
    </row>
    <row r="12" spans="8:29">
      <c r="H12" s="95"/>
      <c r="I12" s="25" t="s">
        <v>56</v>
      </c>
      <c r="J12" s="81" t="s">
        <v>136</v>
      </c>
      <c r="K12" s="228"/>
      <c r="L12" s="227">
        <v>0</v>
      </c>
      <c r="M12" s="346"/>
      <c r="N12" s="345">
        <f>2.7*M12</f>
        <v>0</v>
      </c>
      <c r="O12" s="28">
        <v>26</v>
      </c>
      <c r="P12" s="75">
        <f t="shared" si="0"/>
        <v>150</v>
      </c>
      <c r="Q12" s="218"/>
      <c r="R12" s="11">
        <f t="shared" si="1"/>
        <v>150</v>
      </c>
      <c r="S12" s="107"/>
      <c r="T12" s="5"/>
      <c r="U12" s="32">
        <f>+U10-U11</f>
        <v>52.557544521651039</v>
      </c>
      <c r="V12" s="47"/>
      <c r="W12" s="33"/>
      <c r="X12" s="262" t="s">
        <v>59</v>
      </c>
    </row>
    <row r="13" spans="8:29">
      <c r="H13" s="95"/>
      <c r="I13" s="25" t="s">
        <v>16</v>
      </c>
      <c r="J13" s="81" t="s">
        <v>113</v>
      </c>
      <c r="K13" s="228"/>
      <c r="L13" s="227">
        <v>0</v>
      </c>
      <c r="M13" s="346"/>
      <c r="N13" s="345">
        <v>0</v>
      </c>
      <c r="O13" s="28">
        <v>24</v>
      </c>
      <c r="P13" s="75">
        <f t="shared" si="0"/>
        <v>144</v>
      </c>
      <c r="Q13" s="218"/>
      <c r="R13" s="9">
        <f t="shared" si="1"/>
        <v>144</v>
      </c>
      <c r="S13" s="106"/>
      <c r="T13" s="5"/>
      <c r="U13" s="34">
        <v>150</v>
      </c>
      <c r="V13" s="38">
        <f>+U13-U12</f>
        <v>97.442455478348961</v>
      </c>
      <c r="W13" s="39" t="s">
        <v>63</v>
      </c>
      <c r="X13" s="263">
        <f>150-V13</f>
        <v>52.557544521651039</v>
      </c>
    </row>
    <row r="14" spans="8:29">
      <c r="H14" s="83"/>
      <c r="I14" s="25" t="s">
        <v>92</v>
      </c>
      <c r="J14" s="81" t="s">
        <v>109</v>
      </c>
      <c r="K14" s="228"/>
      <c r="L14" s="227">
        <v>0</v>
      </c>
      <c r="M14" s="346"/>
      <c r="N14" s="345">
        <v>0</v>
      </c>
      <c r="O14" s="74"/>
      <c r="P14" s="75">
        <f t="shared" si="0"/>
        <v>0</v>
      </c>
      <c r="Q14" s="217"/>
      <c r="R14" s="9">
        <f t="shared" si="1"/>
        <v>0</v>
      </c>
      <c r="S14" s="107"/>
      <c r="T14" s="5"/>
      <c r="U14" s="10"/>
      <c r="X14" s="37"/>
    </row>
    <row r="15" spans="8:29">
      <c r="H15" s="83"/>
      <c r="I15" s="25" t="s">
        <v>20</v>
      </c>
      <c r="J15" s="81" t="s">
        <v>195</v>
      </c>
      <c r="K15" s="228"/>
      <c r="L15" s="227">
        <f>+K15*3</f>
        <v>0</v>
      </c>
      <c r="M15" s="346"/>
      <c r="N15" s="345">
        <f>+M15*3</f>
        <v>0</v>
      </c>
      <c r="O15" s="74">
        <v>19</v>
      </c>
      <c r="P15" s="75">
        <f t="shared" si="0"/>
        <v>114</v>
      </c>
      <c r="Q15" s="217"/>
      <c r="R15" s="9">
        <f t="shared" si="1"/>
        <v>114</v>
      </c>
      <c r="S15" s="107"/>
      <c r="T15" s="5"/>
      <c r="U15" s="258">
        <v>880</v>
      </c>
      <c r="V15" s="259">
        <v>114.4</v>
      </c>
      <c r="W15" s="327">
        <v>765.6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251" t="s">
        <v>50</v>
      </c>
      <c r="I16" s="275" t="s">
        <v>272</v>
      </c>
      <c r="J16" s="276" t="s">
        <v>271</v>
      </c>
      <c r="K16" s="277"/>
      <c r="L16" s="278">
        <v>0</v>
      </c>
      <c r="M16" s="347"/>
      <c r="N16" s="348">
        <f>3*M16</f>
        <v>0</v>
      </c>
      <c r="O16" s="277"/>
      <c r="P16" s="278">
        <f t="shared" si="0"/>
        <v>0</v>
      </c>
      <c r="Q16" s="279"/>
      <c r="R16" s="278">
        <f t="shared" si="1"/>
        <v>0</v>
      </c>
      <c r="S16" s="280"/>
      <c r="T16" s="5"/>
      <c r="U16" s="326">
        <f>+V16+W16</f>
        <v>945.97701149425291</v>
      </c>
      <c r="V16" s="256">
        <f>+V15*W16/W15</f>
        <v>122.97701149425289</v>
      </c>
      <c r="W16" s="261">
        <v>823</v>
      </c>
      <c r="X16" s="36" t="s">
        <v>350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25</v>
      </c>
      <c r="J17" s="81" t="s">
        <v>118</v>
      </c>
      <c r="K17" s="228"/>
      <c r="L17" s="227">
        <f>+K17*3</f>
        <v>0</v>
      </c>
      <c r="M17" s="346"/>
      <c r="N17" s="345">
        <f>+M17*3</f>
        <v>0</v>
      </c>
      <c r="O17" s="28">
        <v>16</v>
      </c>
      <c r="P17" s="75">
        <f t="shared" si="0"/>
        <v>96</v>
      </c>
      <c r="Q17" s="218"/>
      <c r="R17" s="11">
        <f t="shared" si="1"/>
        <v>96</v>
      </c>
      <c r="S17" s="107"/>
      <c r="T17" s="5"/>
      <c r="U17" s="32">
        <f>+U15-U16</f>
        <v>-65.977011494252906</v>
      </c>
      <c r="V17" s="47"/>
      <c r="W17" s="33"/>
      <c r="X17" s="262" t="s">
        <v>59</v>
      </c>
      <c r="Z17" s="282">
        <v>43673</v>
      </c>
      <c r="AA17" s="317">
        <v>1</v>
      </c>
      <c r="AB17" s="281">
        <v>3</v>
      </c>
      <c r="AC17" s="174" t="s">
        <v>157</v>
      </c>
    </row>
    <row r="18" spans="1:29">
      <c r="H18" s="95"/>
      <c r="I18" s="25" t="s">
        <v>41</v>
      </c>
      <c r="J18" s="81" t="s">
        <v>112</v>
      </c>
      <c r="K18" s="228"/>
      <c r="L18" s="227">
        <f>+K18*3</f>
        <v>0</v>
      </c>
      <c r="M18" s="346"/>
      <c r="N18" s="345">
        <f>+M18*3</f>
        <v>0</v>
      </c>
      <c r="O18" s="28">
        <v>28</v>
      </c>
      <c r="P18" s="75">
        <f t="shared" si="0"/>
        <v>150</v>
      </c>
      <c r="Q18" s="218"/>
      <c r="R18" s="11">
        <f t="shared" si="1"/>
        <v>150</v>
      </c>
      <c r="S18" s="107"/>
      <c r="T18" s="5"/>
      <c r="U18" s="34">
        <v>150</v>
      </c>
      <c r="V18" s="38">
        <f>+U18-U17</f>
        <v>215.97701149425291</v>
      </c>
      <c r="W18" s="39" t="s">
        <v>63</v>
      </c>
      <c r="X18" s="263">
        <f>150-V18</f>
        <v>-65.977011494252906</v>
      </c>
      <c r="Z18" s="282">
        <f>1+Z17</f>
        <v>43674</v>
      </c>
      <c r="AA18" s="318">
        <v>1</v>
      </c>
      <c r="AB18" s="281">
        <v>5</v>
      </c>
      <c r="AC18" s="33" t="s">
        <v>156</v>
      </c>
    </row>
    <row r="19" spans="1:29">
      <c r="A19" s="215"/>
      <c r="H19" s="83"/>
      <c r="I19" s="126" t="s">
        <v>71</v>
      </c>
      <c r="J19" s="80" t="s">
        <v>139</v>
      </c>
      <c r="K19" s="226"/>
      <c r="L19" s="227">
        <f>5*K19</f>
        <v>0</v>
      </c>
      <c r="M19" s="344"/>
      <c r="N19" s="345">
        <f>5*M19</f>
        <v>0</v>
      </c>
      <c r="O19" s="76">
        <v>24</v>
      </c>
      <c r="P19" s="75">
        <f t="shared" si="0"/>
        <v>144</v>
      </c>
      <c r="Q19" s="217"/>
      <c r="R19" s="11">
        <f t="shared" si="1"/>
        <v>144</v>
      </c>
      <c r="S19" s="106"/>
      <c r="T19" s="5"/>
      <c r="U19" s="10"/>
      <c r="X19" s="37"/>
      <c r="Z19" s="282">
        <f t="shared" ref="Z19:Z27" si="2">1+Z18</f>
        <v>43675</v>
      </c>
      <c r="AA19" s="318">
        <v>1</v>
      </c>
      <c r="AB19" s="281">
        <v>5</v>
      </c>
      <c r="AC19" s="33" t="s">
        <v>151</v>
      </c>
    </row>
    <row r="20" spans="1:29">
      <c r="A20" s="215"/>
      <c r="H20" s="141"/>
      <c r="I20" s="25" t="s">
        <v>28</v>
      </c>
      <c r="J20" s="81" t="s">
        <v>122</v>
      </c>
      <c r="K20" s="228"/>
      <c r="L20" s="227">
        <f>+K20*3</f>
        <v>0</v>
      </c>
      <c r="M20" s="346"/>
      <c r="N20" s="345">
        <f>+M20*3</f>
        <v>0</v>
      </c>
      <c r="O20" s="74">
        <v>23</v>
      </c>
      <c r="P20" s="75">
        <f t="shared" si="0"/>
        <v>138</v>
      </c>
      <c r="Q20" s="217"/>
      <c r="R20" s="9">
        <f t="shared" si="1"/>
        <v>138</v>
      </c>
      <c r="S20" s="107"/>
      <c r="T20" s="5"/>
      <c r="U20" s="258">
        <v>900</v>
      </c>
      <c r="V20" s="259">
        <f>+U20*0.13</f>
        <v>117</v>
      </c>
      <c r="W20" s="327">
        <f>+V20+U20</f>
        <v>1017</v>
      </c>
      <c r="X20" s="100"/>
      <c r="Y20" s="266"/>
      <c r="Z20" s="282">
        <f t="shared" si="2"/>
        <v>43676</v>
      </c>
      <c r="AA20" s="318">
        <v>1</v>
      </c>
      <c r="AB20" s="281">
        <v>2</v>
      </c>
      <c r="AC20" s="33" t="s">
        <v>152</v>
      </c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347"/>
      <c r="N21" s="348">
        <f>5*M21</f>
        <v>0</v>
      </c>
      <c r="O21" s="277"/>
      <c r="P21" s="278">
        <f t="shared" si="0"/>
        <v>0</v>
      </c>
      <c r="Q21" s="279"/>
      <c r="R21" s="278">
        <f t="shared" si="1"/>
        <v>0</v>
      </c>
      <c r="S21" s="280"/>
      <c r="T21" s="5"/>
      <c r="U21" s="326">
        <f>+V21+W21</f>
        <v>802.83185840707961</v>
      </c>
      <c r="V21" s="256">
        <f>+V20*W21/W20</f>
        <v>82.83185840707965</v>
      </c>
      <c r="W21" s="261">
        <v>720</v>
      </c>
      <c r="X21" s="36" t="s">
        <v>350</v>
      </c>
      <c r="Z21" s="282">
        <f t="shared" si="2"/>
        <v>43677</v>
      </c>
      <c r="AA21" s="318"/>
      <c r="AB21" s="281"/>
      <c r="AC21" s="33" t="s">
        <v>153</v>
      </c>
    </row>
    <row r="22" spans="1:29">
      <c r="A22" s="215"/>
      <c r="H22" s="142"/>
      <c r="I22" s="25" t="s">
        <v>4</v>
      </c>
      <c r="J22" s="81" t="s">
        <v>111</v>
      </c>
      <c r="K22" s="228"/>
      <c r="L22" s="227">
        <v>0</v>
      </c>
      <c r="M22" s="346"/>
      <c r="N22" s="345">
        <f>+M22*3</f>
        <v>0</v>
      </c>
      <c r="O22" s="28"/>
      <c r="P22" s="75">
        <f t="shared" si="0"/>
        <v>0</v>
      </c>
      <c r="Q22" s="218"/>
      <c r="R22" s="11">
        <f t="shared" si="1"/>
        <v>0</v>
      </c>
      <c r="S22" s="107"/>
      <c r="T22" s="5"/>
      <c r="U22" s="32">
        <f>+U20-U21</f>
        <v>97.168141592920392</v>
      </c>
      <c r="V22" s="47"/>
      <c r="W22" s="33"/>
      <c r="X22" s="262" t="s">
        <v>59</v>
      </c>
      <c r="Z22" s="282">
        <f t="shared" si="2"/>
        <v>43678</v>
      </c>
      <c r="AA22" s="318"/>
      <c r="AB22" s="281"/>
      <c r="AC22" s="33" t="s">
        <v>154</v>
      </c>
    </row>
    <row r="23" spans="1:29">
      <c r="A23" s="215"/>
      <c r="H23" s="142"/>
      <c r="I23" s="25" t="s">
        <v>9</v>
      </c>
      <c r="J23" s="81" t="s">
        <v>128</v>
      </c>
      <c r="K23" s="228"/>
      <c r="L23" s="227">
        <v>0</v>
      </c>
      <c r="M23" s="346"/>
      <c r="N23" s="345">
        <f>+M23*3</f>
        <v>0</v>
      </c>
      <c r="O23" s="28">
        <v>17</v>
      </c>
      <c r="P23" s="75">
        <f t="shared" si="0"/>
        <v>102</v>
      </c>
      <c r="Q23" s="218"/>
      <c r="R23" s="11">
        <f t="shared" si="1"/>
        <v>102</v>
      </c>
      <c r="S23" s="107"/>
      <c r="T23" s="5"/>
      <c r="U23" s="34">
        <v>150</v>
      </c>
      <c r="V23" s="38">
        <f>+U23-U22</f>
        <v>52.831858407079608</v>
      </c>
      <c r="W23" s="39" t="s">
        <v>63</v>
      </c>
      <c r="X23" s="263">
        <f>150-V23</f>
        <v>97.168141592920392</v>
      </c>
      <c r="Z23" s="282">
        <f t="shared" si="2"/>
        <v>43679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346"/>
      <c r="N24" s="345">
        <v>0</v>
      </c>
      <c r="O24" s="28"/>
      <c r="P24" s="11">
        <f t="shared" si="0"/>
        <v>0</v>
      </c>
      <c r="Q24" s="218"/>
      <c r="R24" s="11">
        <f t="shared" si="1"/>
        <v>0</v>
      </c>
      <c r="S24" s="241"/>
      <c r="T24" s="5"/>
      <c r="U24" s="10"/>
      <c r="X24" s="37"/>
      <c r="Z24" s="282">
        <f t="shared" si="2"/>
        <v>43680</v>
      </c>
      <c r="AA24" s="318"/>
      <c r="AB24" s="281"/>
      <c r="AC24" s="61"/>
    </row>
    <row r="25" spans="1:29">
      <c r="H25" s="251" t="s">
        <v>50</v>
      </c>
      <c r="I25" s="275" t="s">
        <v>328</v>
      </c>
      <c r="J25" s="276" t="s">
        <v>329</v>
      </c>
      <c r="K25" s="277"/>
      <c r="L25" s="278">
        <v>0</v>
      </c>
      <c r="M25" s="347"/>
      <c r="N25" s="348">
        <v>0</v>
      </c>
      <c r="O25" s="277">
        <v>23</v>
      </c>
      <c r="P25" s="278">
        <f t="shared" si="0"/>
        <v>138</v>
      </c>
      <c r="Q25" s="279"/>
      <c r="R25" s="278">
        <f t="shared" si="1"/>
        <v>138</v>
      </c>
      <c r="S25" s="280"/>
      <c r="T25" s="5"/>
      <c r="Z25" s="282">
        <f t="shared" si="2"/>
        <v>43681</v>
      </c>
      <c r="AA25" s="318"/>
      <c r="AB25" s="281"/>
      <c r="AC25" s="61"/>
    </row>
    <row r="26" spans="1:29">
      <c r="A26" s="237"/>
      <c r="B26" s="237"/>
      <c r="C26" s="237"/>
      <c r="D26" s="238"/>
      <c r="E26" s="237"/>
      <c r="F26" s="239"/>
      <c r="G26" s="237"/>
      <c r="H26" s="142"/>
      <c r="I26" s="25" t="s">
        <v>51</v>
      </c>
      <c r="J26" s="96" t="s">
        <v>134</v>
      </c>
      <c r="K26" s="29"/>
      <c r="L26" s="27">
        <f>+K26*3</f>
        <v>0</v>
      </c>
      <c r="M26" s="346"/>
      <c r="N26" s="345">
        <f>+M26*3</f>
        <v>0</v>
      </c>
      <c r="O26" s="28"/>
      <c r="P26" s="11">
        <f t="shared" si="0"/>
        <v>0</v>
      </c>
      <c r="Q26" s="218"/>
      <c r="R26" s="240">
        <f t="shared" si="1"/>
        <v>0</v>
      </c>
      <c r="S26" s="241"/>
      <c r="T26" s="5"/>
      <c r="U26" s="332" t="s">
        <v>382</v>
      </c>
      <c r="Z26" s="282">
        <f t="shared" si="2"/>
        <v>43682</v>
      </c>
      <c r="AA26" s="318"/>
      <c r="AB26" s="281"/>
      <c r="AC26" s="65"/>
    </row>
    <row r="27" spans="1:29">
      <c r="A27" s="215"/>
      <c r="H27" s="242" t="s">
        <v>227</v>
      </c>
      <c r="I27" s="188" t="s">
        <v>61</v>
      </c>
      <c r="J27" s="189" t="s">
        <v>137</v>
      </c>
      <c r="K27" s="192"/>
      <c r="L27" s="193">
        <f>3*K27</f>
        <v>0</v>
      </c>
      <c r="M27" s="347"/>
      <c r="N27" s="348">
        <f>5*M27</f>
        <v>0</v>
      </c>
      <c r="O27" s="192"/>
      <c r="P27" s="193">
        <f t="shared" si="0"/>
        <v>0</v>
      </c>
      <c r="Q27" s="221"/>
      <c r="R27" s="329">
        <f t="shared" si="1"/>
        <v>0</v>
      </c>
      <c r="S27" s="106"/>
      <c r="T27" s="5"/>
      <c r="Z27" s="282">
        <f t="shared" si="2"/>
        <v>43683</v>
      </c>
      <c r="AA27" s="319"/>
      <c r="AB27" s="281"/>
      <c r="AC27" s="66"/>
    </row>
    <row r="28" spans="1:29">
      <c r="A28" s="215"/>
      <c r="H28" s="95"/>
      <c r="I28" s="25" t="s">
        <v>14</v>
      </c>
      <c r="J28" s="81" t="s">
        <v>125</v>
      </c>
      <c r="K28" s="228"/>
      <c r="L28" s="227">
        <f>+K28*3</f>
        <v>0</v>
      </c>
      <c r="M28" s="346"/>
      <c r="N28" s="345">
        <f>3*M28</f>
        <v>0</v>
      </c>
      <c r="O28" s="28">
        <v>5</v>
      </c>
      <c r="P28" s="75">
        <f t="shared" si="0"/>
        <v>30</v>
      </c>
      <c r="Q28" s="218"/>
      <c r="R28" s="11">
        <f t="shared" si="1"/>
        <v>30</v>
      </c>
      <c r="S28" s="107"/>
      <c r="T28" s="5"/>
      <c r="U28" s="287" t="s">
        <v>347</v>
      </c>
      <c r="Z28" s="314" t="s">
        <v>150</v>
      </c>
      <c r="AA28" s="315">
        <f>SUM(AA17:AA27)</f>
        <v>4</v>
      </c>
      <c r="AB28" s="316" t="s">
        <v>148</v>
      </c>
      <c r="AC28" s="68"/>
    </row>
    <row r="29" spans="1:29">
      <c r="A29" s="215"/>
      <c r="H29" s="83"/>
      <c r="I29" s="126" t="s">
        <v>79</v>
      </c>
      <c r="J29" s="82" t="s">
        <v>110</v>
      </c>
      <c r="K29" s="228"/>
      <c r="L29" s="227">
        <v>0</v>
      </c>
      <c r="M29" s="346"/>
      <c r="N29" s="345">
        <v>0</v>
      </c>
      <c r="O29" s="76"/>
      <c r="P29" s="75">
        <f t="shared" si="0"/>
        <v>0</v>
      </c>
      <c r="Q29" s="217"/>
      <c r="R29" s="11">
        <f t="shared" si="1"/>
        <v>0</v>
      </c>
      <c r="S29" s="106"/>
      <c r="T29" s="5"/>
      <c r="Z29" s="184"/>
      <c r="AA29" s="171">
        <f>SUM(AB17:AB27)</f>
        <v>15</v>
      </c>
      <c r="AB29" s="185" t="s">
        <v>149</v>
      </c>
      <c r="AC29" s="69"/>
    </row>
    <row r="30" spans="1:29" ht="16.5">
      <c r="H30" s="83"/>
      <c r="I30" s="269" t="s">
        <v>214</v>
      </c>
      <c r="J30" s="270" t="s">
        <v>215</v>
      </c>
      <c r="K30" s="271"/>
      <c r="L30" s="272">
        <v>0</v>
      </c>
      <c r="M30" s="346"/>
      <c r="N30" s="345">
        <f>3*M30</f>
        <v>0</v>
      </c>
      <c r="O30" s="271"/>
      <c r="P30" s="272">
        <f t="shared" si="0"/>
        <v>0</v>
      </c>
      <c r="Q30" s="273"/>
      <c r="R30" s="272">
        <f t="shared" si="1"/>
        <v>0</v>
      </c>
      <c r="S30" s="274"/>
      <c r="T30" s="5"/>
      <c r="Z30" s="186" t="s">
        <v>160</v>
      </c>
      <c r="AA30" s="284">
        <f>+AA29/AA28</f>
        <v>3.75</v>
      </c>
      <c r="AB30" s="173" t="s">
        <v>150</v>
      </c>
      <c r="AC30" s="65"/>
    </row>
    <row r="31" spans="1:29">
      <c r="A31" s="237"/>
      <c r="B31" s="237"/>
      <c r="C31" s="237"/>
      <c r="D31" s="238"/>
      <c r="E31" s="237"/>
      <c r="F31" s="239"/>
      <c r="G31" s="237"/>
      <c r="H31" s="142"/>
      <c r="I31" s="25" t="s">
        <v>45</v>
      </c>
      <c r="J31" s="96" t="s">
        <v>133</v>
      </c>
      <c r="K31" s="29"/>
      <c r="L31" s="27">
        <f>+K31*3</f>
        <v>0</v>
      </c>
      <c r="M31" s="346"/>
      <c r="N31" s="345">
        <f>+M31*3</f>
        <v>0</v>
      </c>
      <c r="O31" s="28"/>
      <c r="P31" s="11">
        <f t="shared" si="0"/>
        <v>0</v>
      </c>
      <c r="Q31" s="218"/>
      <c r="R31" s="240">
        <f t="shared" si="1"/>
        <v>0</v>
      </c>
      <c r="S31" s="241"/>
      <c r="T31" s="5"/>
      <c r="W31">
        <v>335.21</v>
      </c>
    </row>
    <row r="32" spans="1:29">
      <c r="A32" s="215"/>
      <c r="H32" s="142"/>
      <c r="I32" s="25" t="s">
        <v>13</v>
      </c>
      <c r="J32" s="81" t="s">
        <v>319</v>
      </c>
      <c r="K32" s="228"/>
      <c r="L32" s="227">
        <f>3*K32</f>
        <v>0</v>
      </c>
      <c r="M32" s="346"/>
      <c r="N32" s="345">
        <f>5*M32</f>
        <v>0</v>
      </c>
      <c r="O32" s="28">
        <v>25</v>
      </c>
      <c r="P32" s="75">
        <f t="shared" si="0"/>
        <v>150</v>
      </c>
      <c r="Q32" s="218"/>
      <c r="R32" s="57">
        <f t="shared" si="1"/>
        <v>150</v>
      </c>
      <c r="S32" s="107"/>
      <c r="T32" s="5"/>
      <c r="W32">
        <v>134.09</v>
      </c>
    </row>
    <row r="33" spans="1:32">
      <c r="A33" s="215"/>
      <c r="H33" s="95"/>
      <c r="I33" s="25" t="s">
        <v>31</v>
      </c>
      <c r="J33" s="81" t="s">
        <v>127</v>
      </c>
      <c r="K33" s="228"/>
      <c r="L33" s="227">
        <v>0</v>
      </c>
      <c r="M33" s="346"/>
      <c r="N33" s="345">
        <f>3*M33</f>
        <v>0</v>
      </c>
      <c r="O33" s="28">
        <v>27</v>
      </c>
      <c r="P33" s="75">
        <f t="shared" si="0"/>
        <v>150</v>
      </c>
      <c r="Q33" s="218"/>
      <c r="R33" s="11">
        <f t="shared" si="1"/>
        <v>150</v>
      </c>
      <c r="S33" s="107"/>
      <c r="T33" s="5"/>
      <c r="W33" s="103">
        <f>+W32+W31</f>
        <v>469.29999999999995</v>
      </c>
    </row>
    <row r="34" spans="1:32" s="4" customFormat="1">
      <c r="A34" s="215"/>
      <c r="B34"/>
      <c r="C34"/>
      <c r="D34" s="1"/>
      <c r="E34"/>
      <c r="F34" s="2"/>
      <c r="G34"/>
      <c r="H34" s="95"/>
      <c r="I34" s="25" t="s">
        <v>30</v>
      </c>
      <c r="J34" s="81" t="s">
        <v>126</v>
      </c>
      <c r="K34" s="228"/>
      <c r="L34" s="227">
        <f>+K34*3</f>
        <v>0</v>
      </c>
      <c r="M34" s="346"/>
      <c r="N34" s="345">
        <f>+M34*3</f>
        <v>0</v>
      </c>
      <c r="O34" s="28">
        <v>24</v>
      </c>
      <c r="P34" s="75">
        <f t="shared" si="0"/>
        <v>144</v>
      </c>
      <c r="Q34" s="218"/>
      <c r="R34" s="320">
        <f t="shared" si="1"/>
        <v>144</v>
      </c>
      <c r="S34" s="107"/>
      <c r="T34" s="5"/>
      <c r="U34"/>
      <c r="V34" s="46"/>
      <c r="W34"/>
      <c r="X34"/>
      <c r="Y34"/>
      <c r="Z34"/>
      <c r="AA34"/>
      <c r="AB34"/>
      <c r="AC34"/>
      <c r="AD34"/>
      <c r="AE34"/>
      <c r="AF34"/>
    </row>
    <row r="35" spans="1:32">
      <c r="A35" s="215"/>
      <c r="H35" s="83"/>
      <c r="I35" s="269" t="s">
        <v>186</v>
      </c>
      <c r="J35" s="270" t="s">
        <v>187</v>
      </c>
      <c r="K35" s="271"/>
      <c r="L35" s="272">
        <v>0</v>
      </c>
      <c r="M35" s="346"/>
      <c r="N35" s="345">
        <f>5*M35</f>
        <v>0</v>
      </c>
      <c r="O35" s="271"/>
      <c r="P35" s="272">
        <f t="shared" si="0"/>
        <v>0</v>
      </c>
      <c r="Q35" s="273"/>
      <c r="R35" s="272">
        <f t="shared" si="1"/>
        <v>0</v>
      </c>
      <c r="S35" s="274"/>
      <c r="T35" s="5"/>
    </row>
    <row r="36" spans="1:32">
      <c r="A36" s="215"/>
      <c r="H36" s="83"/>
      <c r="I36" s="25" t="s">
        <v>17</v>
      </c>
      <c r="J36" s="81" t="s">
        <v>123</v>
      </c>
      <c r="K36" s="228"/>
      <c r="L36" s="227">
        <f>+K36*3</f>
        <v>0</v>
      </c>
      <c r="M36" s="346"/>
      <c r="N36" s="345">
        <v>0</v>
      </c>
      <c r="O36" s="74">
        <v>21</v>
      </c>
      <c r="P36" s="75">
        <f t="shared" si="0"/>
        <v>126</v>
      </c>
      <c r="Q36" s="218"/>
      <c r="R36" s="11">
        <f t="shared" si="1"/>
        <v>126</v>
      </c>
      <c r="S36" s="107"/>
      <c r="T36" s="5"/>
    </row>
    <row r="37" spans="1:32">
      <c r="A37" s="215"/>
      <c r="H37" s="83"/>
      <c r="I37" s="25" t="s">
        <v>60</v>
      </c>
      <c r="J37" s="81" t="s">
        <v>132</v>
      </c>
      <c r="K37" s="228"/>
      <c r="L37" s="227">
        <v>0</v>
      </c>
      <c r="M37" s="346"/>
      <c r="N37" s="345">
        <v>0</v>
      </c>
      <c r="O37" s="74"/>
      <c r="P37" s="75">
        <f>IF(O37&gt;25,150,(O37)*6)</f>
        <v>0</v>
      </c>
      <c r="Q37" s="218"/>
      <c r="R37" s="11">
        <f>+L37+N37+P37+Q37</f>
        <v>0</v>
      </c>
      <c r="S37" s="107"/>
      <c r="T37" s="5"/>
    </row>
    <row r="38" spans="1:32">
      <c r="H38" s="142"/>
      <c r="I38" s="25" t="s">
        <v>233</v>
      </c>
      <c r="J38" s="81" t="s">
        <v>234</v>
      </c>
      <c r="K38" s="228"/>
      <c r="L38" s="227">
        <v>0</v>
      </c>
      <c r="M38" s="346"/>
      <c r="N38" s="345">
        <f>+M38*5</f>
        <v>0</v>
      </c>
      <c r="O38" s="28"/>
      <c r="P38" s="75">
        <f t="shared" si="0"/>
        <v>0</v>
      </c>
      <c r="Q38" s="218"/>
      <c r="R38" s="57">
        <f t="shared" si="1"/>
        <v>0</v>
      </c>
      <c r="S38" s="107"/>
      <c r="T38" s="5"/>
      <c r="AF38" s="4"/>
    </row>
    <row r="39" spans="1:32">
      <c r="A39" s="215"/>
      <c r="H39" s="95"/>
      <c r="I39" s="25" t="s">
        <v>8</v>
      </c>
      <c r="J39" s="81" t="s">
        <v>120</v>
      </c>
      <c r="K39" s="228"/>
      <c r="L39" s="227">
        <v>0</v>
      </c>
      <c r="M39" s="346"/>
      <c r="N39" s="345">
        <v>0</v>
      </c>
      <c r="O39" s="28">
        <v>25</v>
      </c>
      <c r="P39" s="75">
        <f t="shared" si="0"/>
        <v>150</v>
      </c>
      <c r="Q39" s="218"/>
      <c r="R39" s="11">
        <f t="shared" si="1"/>
        <v>150</v>
      </c>
      <c r="S39" s="107"/>
      <c r="T39" s="5"/>
    </row>
    <row r="40" spans="1:32">
      <c r="A40" s="215"/>
      <c r="H40" s="83"/>
      <c r="I40" s="25" t="s">
        <v>11</v>
      </c>
      <c r="J40" s="96" t="s">
        <v>130</v>
      </c>
      <c r="K40" s="228"/>
      <c r="L40" s="227">
        <f>+K40*3</f>
        <v>0</v>
      </c>
      <c r="M40" s="346"/>
      <c r="N40" s="345">
        <f>+M40*3</f>
        <v>0</v>
      </c>
      <c r="O40" s="74">
        <v>24</v>
      </c>
      <c r="P40" s="75">
        <f t="shared" si="0"/>
        <v>144</v>
      </c>
      <c r="Q40" s="220"/>
      <c r="R40" s="11">
        <f t="shared" si="1"/>
        <v>144</v>
      </c>
      <c r="S40" s="107"/>
      <c r="T40" s="5"/>
    </row>
    <row r="41" spans="1:32">
      <c r="H41" s="83"/>
      <c r="I41" s="25" t="s">
        <v>44</v>
      </c>
      <c r="J41" s="96" t="s">
        <v>124</v>
      </c>
      <c r="K41" s="228"/>
      <c r="L41" s="227">
        <f>+K41*3</f>
        <v>0</v>
      </c>
      <c r="M41" s="346"/>
      <c r="N41" s="345">
        <f>+M41*3</f>
        <v>0</v>
      </c>
      <c r="O41" s="113"/>
      <c r="P41" s="75">
        <f t="shared" si="0"/>
        <v>0</v>
      </c>
      <c r="Q41" s="218"/>
      <c r="R41" s="11">
        <f t="shared" si="1"/>
        <v>0</v>
      </c>
      <c r="S41" s="107"/>
      <c r="T41" s="5"/>
    </row>
    <row r="42" spans="1:32">
      <c r="H42" s="83"/>
      <c r="I42" s="25" t="s">
        <v>6</v>
      </c>
      <c r="J42" s="96" t="s">
        <v>116</v>
      </c>
      <c r="K42" s="228"/>
      <c r="L42" s="227">
        <f>+K42*3</f>
        <v>0</v>
      </c>
      <c r="M42" s="346"/>
      <c r="N42" s="345">
        <f>+M42*3</f>
        <v>0</v>
      </c>
      <c r="O42" s="74"/>
      <c r="P42" s="75">
        <f t="shared" si="0"/>
        <v>0</v>
      </c>
      <c r="Q42" s="220"/>
      <c r="R42" s="11">
        <f t="shared" si="1"/>
        <v>0</v>
      </c>
      <c r="S42" s="107"/>
      <c r="T42" s="5"/>
    </row>
    <row r="43" spans="1:32">
      <c r="H43" s="95"/>
      <c r="I43" s="25" t="s">
        <v>53</v>
      </c>
      <c r="J43" s="81" t="s">
        <v>135</v>
      </c>
      <c r="K43" s="228"/>
      <c r="L43" s="227">
        <v>0</v>
      </c>
      <c r="M43" s="346"/>
      <c r="N43" s="345">
        <v>0</v>
      </c>
      <c r="O43" s="28">
        <v>18</v>
      </c>
      <c r="P43" s="75">
        <f t="shared" si="0"/>
        <v>108</v>
      </c>
      <c r="Q43" s="218"/>
      <c r="R43" s="11">
        <f t="shared" si="1"/>
        <v>108</v>
      </c>
      <c r="S43" s="107"/>
      <c r="T43" s="5"/>
    </row>
    <row r="44" spans="1:32">
      <c r="H44" s="242" t="s">
        <v>227</v>
      </c>
      <c r="I44" s="336" t="s">
        <v>12</v>
      </c>
      <c r="J44" s="337" t="s">
        <v>114</v>
      </c>
      <c r="K44" s="338"/>
      <c r="L44" s="339">
        <v>0</v>
      </c>
      <c r="M44" s="349"/>
      <c r="N44" s="350">
        <f>3*M44</f>
        <v>0</v>
      </c>
      <c r="O44" s="338"/>
      <c r="P44" s="339">
        <f t="shared" si="0"/>
        <v>0</v>
      </c>
      <c r="Q44" s="340"/>
      <c r="R44" s="341">
        <f t="shared" si="1"/>
        <v>0</v>
      </c>
      <c r="S44" s="148"/>
      <c r="T44" s="5"/>
    </row>
    <row r="45" spans="1:32">
      <c r="I45" s="13"/>
      <c r="J45" s="14"/>
      <c r="K45" s="234">
        <f t="shared" ref="K45:S45" si="3">SUM(K5:K44)</f>
        <v>0</v>
      </c>
      <c r="L45" s="235">
        <f t="shared" si="3"/>
        <v>0</v>
      </c>
      <c r="M45" s="167">
        <f t="shared" si="3"/>
        <v>0</v>
      </c>
      <c r="N45" s="168">
        <f t="shared" si="3"/>
        <v>0</v>
      </c>
      <c r="O45" s="77">
        <f t="shared" si="3"/>
        <v>451</v>
      </c>
      <c r="P45" s="78">
        <f t="shared" si="3"/>
        <v>2616</v>
      </c>
      <c r="Q45" s="323">
        <f t="shared" si="3"/>
        <v>0</v>
      </c>
      <c r="R45" s="78">
        <f t="shared" si="3"/>
        <v>2616</v>
      </c>
      <c r="S45" s="102">
        <f t="shared" si="3"/>
        <v>0</v>
      </c>
      <c r="T45" s="5"/>
    </row>
    <row r="46" spans="1:32">
      <c r="J46" s="200">
        <f ca="1">TODAY()</f>
        <v>43825</v>
      </c>
      <c r="K46" s="41"/>
      <c r="M46" s="42"/>
      <c r="N46" s="41"/>
      <c r="O46" s="45" t="s">
        <v>81</v>
      </c>
      <c r="Q46" s="42"/>
      <c r="R46" s="45">
        <f>+R8+R11+R16+R21+R25+R27+R44</f>
        <v>222</v>
      </c>
      <c r="T46" s="5"/>
      <c r="AC46">
        <v>4</v>
      </c>
    </row>
    <row r="47" spans="1:32" ht="15" customHeight="1">
      <c r="L47" s="43"/>
      <c r="M47" s="44"/>
      <c r="N47" s="125"/>
      <c r="O47" s="43" t="s">
        <v>91</v>
      </c>
      <c r="P47" s="114">
        <v>2622</v>
      </c>
      <c r="Q47" s="110" t="s">
        <v>58</v>
      </c>
      <c r="R47" s="111">
        <f>+R45-R46</f>
        <v>2394</v>
      </c>
      <c r="S47" s="10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30" t="s">
        <v>403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31" t="s">
        <v>404</v>
      </c>
      <c r="P50" s="19"/>
      <c r="T50" s="5"/>
    </row>
    <row r="51" spans="9:29">
      <c r="I51" s="330" t="s">
        <v>405</v>
      </c>
      <c r="P51" s="19"/>
      <c r="T51" s="5"/>
    </row>
    <row r="52" spans="9:29">
      <c r="I52" s="330" t="s">
        <v>406</v>
      </c>
      <c r="P52" s="19"/>
      <c r="T52" s="5"/>
      <c r="V52" s="59"/>
      <c r="W52" s="60"/>
      <c r="X52" s="61"/>
    </row>
    <row r="53" spans="9:29">
      <c r="I53" s="330" t="s">
        <v>407</v>
      </c>
      <c r="P53" s="19"/>
      <c r="U53" s="58"/>
      <c r="V53" s="59"/>
      <c r="W53" s="60"/>
      <c r="X53" s="61"/>
    </row>
    <row r="54" spans="9:29">
      <c r="I54" s="330" t="s">
        <v>408</v>
      </c>
      <c r="U54" s="58"/>
      <c r="V54" s="59"/>
      <c r="W54" s="62"/>
      <c r="X54" s="65"/>
    </row>
    <row r="55" spans="9:29">
      <c r="I55" s="330"/>
      <c r="U55" s="58"/>
      <c r="V55" s="59"/>
      <c r="W55" s="67"/>
      <c r="X55" s="60"/>
    </row>
    <row r="56" spans="9:29">
      <c r="I56" s="330"/>
      <c r="U56" s="58"/>
      <c r="V56" s="59"/>
      <c r="W56" s="60"/>
      <c r="X56" s="60"/>
    </row>
    <row r="57" spans="9:29">
      <c r="U57" s="58"/>
      <c r="V57" s="59"/>
      <c r="W57" s="60"/>
      <c r="X57" s="68"/>
    </row>
    <row r="58" spans="9:29">
      <c r="U58" s="58"/>
      <c r="V58" s="59"/>
      <c r="W58" s="60"/>
      <c r="X58" s="69"/>
    </row>
    <row r="59" spans="9:29">
      <c r="U59" s="58"/>
      <c r="V59" s="59"/>
      <c r="W59" s="60"/>
      <c r="X59" s="60"/>
    </row>
    <row r="60" spans="9:29">
      <c r="U60" s="58"/>
      <c r="V60" s="59"/>
      <c r="W60" s="60"/>
      <c r="X60" s="60"/>
    </row>
    <row r="61" spans="9:29">
      <c r="U61" s="58"/>
      <c r="V61" s="59"/>
      <c r="W61" s="62"/>
      <c r="X61" s="60"/>
    </row>
    <row r="62" spans="9:29">
      <c r="U62" s="58"/>
      <c r="V62" s="59"/>
      <c r="W62" s="62"/>
      <c r="X62" s="60"/>
    </row>
    <row r="63" spans="9:29">
      <c r="U63" s="64"/>
      <c r="V63" s="59"/>
      <c r="W63" s="60"/>
      <c r="X63" s="60"/>
    </row>
    <row r="64" spans="9:29">
      <c r="U64" s="58"/>
      <c r="V64" s="66"/>
      <c r="W64" s="67"/>
      <c r="X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  <row r="68" spans="21:23">
      <c r="U68" s="60"/>
      <c r="V68" s="59"/>
      <c r="W68" s="60"/>
    </row>
    <row r="69" spans="21:23">
      <c r="U69" s="60"/>
      <c r="V69" s="59"/>
      <c r="W69" s="60"/>
    </row>
    <row r="70" spans="21:23">
      <c r="U70" s="60"/>
      <c r="V70" s="59"/>
      <c r="W70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90" priority="4" operator="lessThanOrEqual">
      <formula>0</formula>
    </cfRule>
  </conditionalFormatting>
  <conditionalFormatting sqref="R5:R44">
    <cfRule type="cellIs" dxfId="89" priority="3" operator="greaterThan">
      <formula>0</formula>
    </cfRule>
  </conditionalFormatting>
  <conditionalFormatting sqref="R44">
    <cfRule type="cellIs" dxfId="88" priority="2" operator="greaterThan">
      <formula>0</formula>
    </cfRule>
  </conditionalFormatting>
  <conditionalFormatting sqref="R27">
    <cfRule type="cellIs" dxfId="87" priority="1" operator="greaterThan">
      <formula>0</formula>
    </cfRule>
  </conditionalFormatting>
  <printOptions horizontalCentered="1"/>
  <pageMargins left="0" right="0" top="0.47244094488188981" bottom="0" header="0" footer="0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70"/>
  <sheetViews>
    <sheetView zoomScale="85" zoomScaleNormal="85" workbookViewId="0">
      <pane xSplit="10" ySplit="4" topLeftCell="K45" activePane="bottomRight" state="frozen"/>
      <selection pane="topRight" activeCell="K1" sqref="K1"/>
      <selection pane="bottomLeft" activeCell="A5" sqref="A5"/>
      <selection pane="bottomRight" activeCell="K45" sqref="K4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.7109375" customWidth="1"/>
    <col min="9" max="9" width="7.42578125" customWidth="1"/>
    <col min="10" max="10" width="25.7109375" customWidth="1"/>
    <col min="11" max="11" width="1.7109375" customWidth="1"/>
    <col min="12" max="12" width="1.5703125" customWidth="1"/>
    <col min="13" max="13" width="5.7109375" customWidth="1"/>
    <col min="14" max="14" width="7.7109375" customWidth="1"/>
    <col min="15" max="15" width="6.85546875" customWidth="1"/>
    <col min="16" max="16" width="12.140625" customWidth="1"/>
    <col min="17" max="17" width="7.7109375" customWidth="1"/>
    <col min="18" max="18" width="15.7109375" customWidth="1"/>
    <col min="19" max="19" width="3.7109375" style="103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 ht="14.1" customHeight="1">
      <c r="H2" s="83"/>
      <c r="I2" s="429" t="s">
        <v>396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342" t="s">
        <v>15</v>
      </c>
      <c r="N4" s="343" t="s">
        <v>399</v>
      </c>
      <c r="O4" s="87" t="s">
        <v>15</v>
      </c>
      <c r="P4" s="87" t="s">
        <v>397</v>
      </c>
      <c r="Q4" s="99" t="s">
        <v>398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344"/>
      <c r="N5" s="345">
        <v>0</v>
      </c>
      <c r="O5" s="76"/>
      <c r="P5" s="75">
        <f t="shared" ref="P5:P44" si="0">IF(O5&gt;25,150,(O5)*6)</f>
        <v>0</v>
      </c>
      <c r="Q5" s="217"/>
      <c r="R5" s="11">
        <f t="shared" ref="R5:R44" si="1">+L5+N5+P5+Q5</f>
        <v>0</v>
      </c>
      <c r="S5" s="106"/>
      <c r="T5" s="5"/>
      <c r="U5" s="258">
        <v>815.2</v>
      </c>
      <c r="V5" s="259">
        <v>94</v>
      </c>
      <c r="W5" s="260">
        <v>721.2</v>
      </c>
      <c r="X5" s="333" t="s">
        <v>215</v>
      </c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344"/>
      <c r="N6" s="345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26">
        <f>+V6+W6</f>
        <v>813.84359400998335</v>
      </c>
      <c r="V6" s="256">
        <f>+V5*W6/W5</f>
        <v>93.843594009983349</v>
      </c>
      <c r="W6" s="261">
        <v>720</v>
      </c>
      <c r="X6" s="334" t="s">
        <v>381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346"/>
      <c r="N7" s="345">
        <v>0</v>
      </c>
      <c r="O7" s="74"/>
      <c r="P7" s="75">
        <f t="shared" si="0"/>
        <v>0</v>
      </c>
      <c r="Q7" s="218"/>
      <c r="R7" s="9">
        <f t="shared" si="1"/>
        <v>0</v>
      </c>
      <c r="S7" s="106"/>
      <c r="T7" s="5"/>
      <c r="U7" s="32">
        <f>+U5-U6+0.01</f>
        <v>1.3664059900166967</v>
      </c>
      <c r="V7" s="47"/>
      <c r="W7" s="33"/>
      <c r="X7" s="262" t="s">
        <v>59</v>
      </c>
    </row>
    <row r="8" spans="8:29">
      <c r="H8" s="251" t="s">
        <v>50</v>
      </c>
      <c r="I8" s="275" t="s">
        <v>387</v>
      </c>
      <c r="J8" s="276" t="s">
        <v>388</v>
      </c>
      <c r="K8" s="277"/>
      <c r="L8" s="278">
        <v>0</v>
      </c>
      <c r="M8" s="347"/>
      <c r="N8" s="348">
        <v>0</v>
      </c>
      <c r="O8" s="277">
        <v>6</v>
      </c>
      <c r="P8" s="278">
        <f t="shared" si="0"/>
        <v>36</v>
      </c>
      <c r="Q8" s="279"/>
      <c r="R8" s="278">
        <f t="shared" si="1"/>
        <v>36</v>
      </c>
      <c r="S8" s="280"/>
      <c r="T8" s="5"/>
      <c r="U8" s="34">
        <v>150</v>
      </c>
      <c r="V8" s="335">
        <f>+U8-U7</f>
        <v>148.63359400998331</v>
      </c>
      <c r="W8" s="39" t="s">
        <v>63</v>
      </c>
      <c r="X8" s="263">
        <f>150-V8</f>
        <v>1.3664059900166876</v>
      </c>
    </row>
    <row r="9" spans="8:29">
      <c r="H9" s="83"/>
      <c r="I9" s="25" t="s">
        <v>2</v>
      </c>
      <c r="J9" s="81" t="s">
        <v>107</v>
      </c>
      <c r="K9" s="228"/>
      <c r="L9" s="227">
        <f>+K9*3</f>
        <v>0</v>
      </c>
      <c r="M9" s="346"/>
      <c r="N9" s="345">
        <f>+M9*3</f>
        <v>0</v>
      </c>
      <c r="O9" s="74"/>
      <c r="P9" s="75">
        <f t="shared" si="0"/>
        <v>0</v>
      </c>
      <c r="Q9" s="218"/>
      <c r="R9" s="9">
        <f t="shared" si="1"/>
        <v>0</v>
      </c>
      <c r="S9" s="138"/>
      <c r="T9" s="5"/>
      <c r="U9" s="10"/>
      <c r="X9" s="37"/>
    </row>
    <row r="10" spans="8:29" ht="15" customHeight="1">
      <c r="H10" s="95"/>
      <c r="I10" s="25" t="s">
        <v>42</v>
      </c>
      <c r="J10" s="81" t="s">
        <v>119</v>
      </c>
      <c r="K10" s="228"/>
      <c r="L10" s="227">
        <f>+K10*3</f>
        <v>0</v>
      </c>
      <c r="M10" s="346"/>
      <c r="N10" s="345">
        <f>+M10*3</f>
        <v>0</v>
      </c>
      <c r="O10" s="28"/>
      <c r="P10" s="75">
        <f t="shared" si="0"/>
        <v>0</v>
      </c>
      <c r="Q10" s="218"/>
      <c r="R10" s="11">
        <f t="shared" si="1"/>
        <v>0</v>
      </c>
      <c r="S10" s="107"/>
      <c r="T10" s="5"/>
      <c r="U10" s="258">
        <v>988</v>
      </c>
      <c r="V10" s="259">
        <v>118.76</v>
      </c>
      <c r="W10" s="260">
        <v>869.24</v>
      </c>
      <c r="X10" s="333" t="s">
        <v>349</v>
      </c>
      <c r="Y10" s="266"/>
    </row>
    <row r="11" spans="8:29">
      <c r="H11" s="251" t="s">
        <v>50</v>
      </c>
      <c r="I11" s="275" t="s">
        <v>1</v>
      </c>
      <c r="J11" s="276" t="s">
        <v>106</v>
      </c>
      <c r="K11" s="277"/>
      <c r="L11" s="278">
        <f>3*K11</f>
        <v>0</v>
      </c>
      <c r="M11" s="347"/>
      <c r="N11" s="348">
        <f>3*M11</f>
        <v>0</v>
      </c>
      <c r="O11" s="277"/>
      <c r="P11" s="278">
        <f t="shared" si="0"/>
        <v>0</v>
      </c>
      <c r="Q11" s="279"/>
      <c r="R11" s="278">
        <f t="shared" si="1"/>
        <v>0</v>
      </c>
      <c r="S11" s="280"/>
      <c r="T11" s="5"/>
      <c r="U11" s="326">
        <f>+V11+W11</f>
        <v>935.44245547834896</v>
      </c>
      <c r="V11" s="256">
        <f>+V10*W11/W10</f>
        <v>112.44245547834892</v>
      </c>
      <c r="W11" s="261">
        <v>823</v>
      </c>
      <c r="X11" s="334" t="s">
        <v>348</v>
      </c>
    </row>
    <row r="12" spans="8:29">
      <c r="H12" s="95"/>
      <c r="I12" s="25" t="s">
        <v>56</v>
      </c>
      <c r="J12" s="81" t="s">
        <v>136</v>
      </c>
      <c r="K12" s="228"/>
      <c r="L12" s="227">
        <v>0</v>
      </c>
      <c r="M12" s="346"/>
      <c r="N12" s="345">
        <f>2.7*M12</f>
        <v>0</v>
      </c>
      <c r="O12" s="28">
        <v>31</v>
      </c>
      <c r="P12" s="75">
        <f t="shared" si="0"/>
        <v>150</v>
      </c>
      <c r="Q12" s="218"/>
      <c r="R12" s="11">
        <f t="shared" si="1"/>
        <v>150</v>
      </c>
      <c r="S12" s="107"/>
      <c r="T12" s="5"/>
      <c r="U12" s="32">
        <f>+U10-U11</f>
        <v>52.557544521651039</v>
      </c>
      <c r="V12" s="47"/>
      <c r="W12" s="33"/>
      <c r="X12" s="262" t="s">
        <v>59</v>
      </c>
    </row>
    <row r="13" spans="8:29">
      <c r="H13" s="95"/>
      <c r="I13" s="25" t="s">
        <v>16</v>
      </c>
      <c r="J13" s="81" t="s">
        <v>113</v>
      </c>
      <c r="K13" s="228"/>
      <c r="L13" s="227">
        <v>0</v>
      </c>
      <c r="M13" s="346"/>
      <c r="N13" s="345">
        <v>0</v>
      </c>
      <c r="O13" s="28">
        <v>25</v>
      </c>
      <c r="P13" s="75">
        <f t="shared" si="0"/>
        <v>150</v>
      </c>
      <c r="Q13" s="218"/>
      <c r="R13" s="9">
        <f t="shared" si="1"/>
        <v>150</v>
      </c>
      <c r="S13" s="106"/>
      <c r="T13" s="5"/>
      <c r="U13" s="34">
        <v>150</v>
      </c>
      <c r="V13" s="38">
        <f>+U13-U12</f>
        <v>97.442455478348961</v>
      </c>
      <c r="W13" s="39" t="s">
        <v>63</v>
      </c>
      <c r="X13" s="263">
        <f>150-V13</f>
        <v>52.557544521651039</v>
      </c>
    </row>
    <row r="14" spans="8:29">
      <c r="H14" s="83"/>
      <c r="I14" s="25" t="s">
        <v>92</v>
      </c>
      <c r="J14" s="81" t="s">
        <v>109</v>
      </c>
      <c r="K14" s="228"/>
      <c r="L14" s="227">
        <v>0</v>
      </c>
      <c r="M14" s="346"/>
      <c r="N14" s="345">
        <v>0</v>
      </c>
      <c r="O14" s="74"/>
      <c r="P14" s="75">
        <f t="shared" si="0"/>
        <v>0</v>
      </c>
      <c r="Q14" s="217"/>
      <c r="R14" s="9">
        <f t="shared" si="1"/>
        <v>0</v>
      </c>
      <c r="S14" s="107"/>
      <c r="T14" s="5"/>
      <c r="U14" s="10"/>
      <c r="X14" s="37"/>
    </row>
    <row r="15" spans="8:29">
      <c r="H15" s="83"/>
      <c r="I15" s="25" t="s">
        <v>20</v>
      </c>
      <c r="J15" s="81" t="s">
        <v>195</v>
      </c>
      <c r="K15" s="228"/>
      <c r="L15" s="227">
        <f>+K15*3</f>
        <v>0</v>
      </c>
      <c r="M15" s="346"/>
      <c r="N15" s="345">
        <f>+M15*3</f>
        <v>0</v>
      </c>
      <c r="O15" s="74">
        <v>29</v>
      </c>
      <c r="P15" s="75">
        <f t="shared" si="0"/>
        <v>150</v>
      </c>
      <c r="Q15" s="217"/>
      <c r="R15" s="9">
        <f t="shared" si="1"/>
        <v>150</v>
      </c>
      <c r="S15" s="107"/>
      <c r="T15" s="5"/>
      <c r="U15" s="258">
        <v>880</v>
      </c>
      <c r="V15" s="259">
        <v>114.4</v>
      </c>
      <c r="W15" s="327">
        <v>765.6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251" t="s">
        <v>50</v>
      </c>
      <c r="I16" s="275" t="s">
        <v>272</v>
      </c>
      <c r="J16" s="276" t="s">
        <v>271</v>
      </c>
      <c r="K16" s="277"/>
      <c r="L16" s="278">
        <v>0</v>
      </c>
      <c r="M16" s="347"/>
      <c r="N16" s="348">
        <f>3*M16</f>
        <v>0</v>
      </c>
      <c r="O16" s="277"/>
      <c r="P16" s="278">
        <f t="shared" si="0"/>
        <v>0</v>
      </c>
      <c r="Q16" s="279"/>
      <c r="R16" s="278">
        <f t="shared" si="1"/>
        <v>0</v>
      </c>
      <c r="S16" s="280"/>
      <c r="T16" s="5"/>
      <c r="U16" s="326">
        <f>+V16+W16</f>
        <v>945.97701149425291</v>
      </c>
      <c r="V16" s="256">
        <f>+V15*W16/W15</f>
        <v>122.97701149425289</v>
      </c>
      <c r="W16" s="261">
        <v>823</v>
      </c>
      <c r="X16" s="36" t="s">
        <v>350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25</v>
      </c>
      <c r="J17" s="81" t="s">
        <v>118</v>
      </c>
      <c r="K17" s="228"/>
      <c r="L17" s="227">
        <f>+K17*3</f>
        <v>0</v>
      </c>
      <c r="M17" s="346"/>
      <c r="N17" s="345">
        <f>+M17*3</f>
        <v>0</v>
      </c>
      <c r="O17" s="28">
        <v>24</v>
      </c>
      <c r="P17" s="75">
        <f t="shared" si="0"/>
        <v>144</v>
      </c>
      <c r="Q17" s="218"/>
      <c r="R17" s="11">
        <f t="shared" si="1"/>
        <v>144</v>
      </c>
      <c r="S17" s="107"/>
      <c r="T17" s="5"/>
      <c r="U17" s="32">
        <f>+U15-U16</f>
        <v>-65.977011494252906</v>
      </c>
      <c r="V17" s="47"/>
      <c r="W17" s="33"/>
      <c r="X17" s="262" t="s">
        <v>59</v>
      </c>
      <c r="Z17" s="282">
        <v>43673</v>
      </c>
      <c r="AA17" s="317">
        <v>1</v>
      </c>
      <c r="AB17" s="281">
        <v>3</v>
      </c>
      <c r="AC17" s="174" t="s">
        <v>157</v>
      </c>
    </row>
    <row r="18" spans="1:29">
      <c r="H18" s="95"/>
      <c r="I18" s="25" t="s">
        <v>41</v>
      </c>
      <c r="J18" s="81" t="s">
        <v>112</v>
      </c>
      <c r="K18" s="228"/>
      <c r="L18" s="227">
        <f>+K18*3</f>
        <v>0</v>
      </c>
      <c r="M18" s="346"/>
      <c r="N18" s="345">
        <f>+M18*3</f>
        <v>0</v>
      </c>
      <c r="O18" s="28">
        <v>32</v>
      </c>
      <c r="P18" s="75">
        <f t="shared" si="0"/>
        <v>150</v>
      </c>
      <c r="Q18" s="218"/>
      <c r="R18" s="11">
        <f t="shared" si="1"/>
        <v>150</v>
      </c>
      <c r="S18" s="107"/>
      <c r="T18" s="5"/>
      <c r="U18" s="34">
        <v>150</v>
      </c>
      <c r="V18" s="38">
        <f>+U18-U17</f>
        <v>215.97701149425291</v>
      </c>
      <c r="W18" s="39" t="s">
        <v>63</v>
      </c>
      <c r="X18" s="263">
        <f>150-V18</f>
        <v>-65.977011494252906</v>
      </c>
      <c r="Z18" s="282">
        <f>1+Z17</f>
        <v>43674</v>
      </c>
      <c r="AA18" s="318">
        <v>1</v>
      </c>
      <c r="AB18" s="281">
        <v>5</v>
      </c>
      <c r="AC18" s="33" t="s">
        <v>156</v>
      </c>
    </row>
    <row r="19" spans="1:29">
      <c r="A19" s="215"/>
      <c r="H19" s="83"/>
      <c r="I19" s="126" t="s">
        <v>71</v>
      </c>
      <c r="J19" s="80" t="s">
        <v>139</v>
      </c>
      <c r="K19" s="226"/>
      <c r="L19" s="227">
        <f>5*K19</f>
        <v>0</v>
      </c>
      <c r="M19" s="344"/>
      <c r="N19" s="345">
        <f>5*M19</f>
        <v>0</v>
      </c>
      <c r="O19" s="76">
        <v>33</v>
      </c>
      <c r="P19" s="75">
        <f t="shared" si="0"/>
        <v>150</v>
      </c>
      <c r="Q19" s="217"/>
      <c r="R19" s="11">
        <f t="shared" si="1"/>
        <v>150</v>
      </c>
      <c r="S19" s="106"/>
      <c r="T19" s="5"/>
      <c r="U19" s="10"/>
      <c r="X19" s="37"/>
      <c r="Z19" s="282">
        <f t="shared" ref="Z19:Z27" si="2">1+Z18</f>
        <v>43675</v>
      </c>
      <c r="AA19" s="318">
        <v>1</v>
      </c>
      <c r="AB19" s="281">
        <v>5</v>
      </c>
      <c r="AC19" s="33" t="s">
        <v>151</v>
      </c>
    </row>
    <row r="20" spans="1:29">
      <c r="A20" s="215"/>
      <c r="H20" s="141"/>
      <c r="I20" s="25" t="s">
        <v>28</v>
      </c>
      <c r="J20" s="81" t="s">
        <v>122</v>
      </c>
      <c r="K20" s="228"/>
      <c r="L20" s="227">
        <f>+K20*3</f>
        <v>0</v>
      </c>
      <c r="M20" s="346"/>
      <c r="N20" s="345">
        <f>+M20*3</f>
        <v>0</v>
      </c>
      <c r="O20" s="74">
        <v>30</v>
      </c>
      <c r="P20" s="75">
        <f t="shared" si="0"/>
        <v>150</v>
      </c>
      <c r="Q20" s="217"/>
      <c r="R20" s="9">
        <f t="shared" si="1"/>
        <v>150</v>
      </c>
      <c r="S20" s="107"/>
      <c r="T20" s="5"/>
      <c r="U20" s="258">
        <v>900</v>
      </c>
      <c r="V20" s="259">
        <f>+U20*0.13</f>
        <v>117</v>
      </c>
      <c r="W20" s="327">
        <f>+V20+U20</f>
        <v>1017</v>
      </c>
      <c r="X20" s="100"/>
      <c r="Y20" s="266"/>
      <c r="Z20" s="282">
        <f t="shared" si="2"/>
        <v>43676</v>
      </c>
      <c r="AA20" s="318">
        <v>1</v>
      </c>
      <c r="AB20" s="281">
        <v>2</v>
      </c>
      <c r="AC20" s="33" t="s">
        <v>152</v>
      </c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347"/>
      <c r="N21" s="348">
        <f>5*M21</f>
        <v>0</v>
      </c>
      <c r="O21" s="277"/>
      <c r="P21" s="278">
        <f t="shared" si="0"/>
        <v>0</v>
      </c>
      <c r="Q21" s="279"/>
      <c r="R21" s="278">
        <f t="shared" si="1"/>
        <v>0</v>
      </c>
      <c r="S21" s="280"/>
      <c r="T21" s="5"/>
      <c r="U21" s="326">
        <f>+V21+W21</f>
        <v>802.83185840707961</v>
      </c>
      <c r="V21" s="256">
        <f>+V20*W21/W20</f>
        <v>82.83185840707965</v>
      </c>
      <c r="W21" s="261">
        <v>720</v>
      </c>
      <c r="X21" s="36" t="s">
        <v>350</v>
      </c>
      <c r="Z21" s="282">
        <f t="shared" si="2"/>
        <v>43677</v>
      </c>
      <c r="AA21" s="318"/>
      <c r="AB21" s="281"/>
      <c r="AC21" s="33" t="s">
        <v>153</v>
      </c>
    </row>
    <row r="22" spans="1:29">
      <c r="A22" s="215"/>
      <c r="H22" s="142"/>
      <c r="I22" s="25" t="s">
        <v>4</v>
      </c>
      <c r="J22" s="81" t="s">
        <v>111</v>
      </c>
      <c r="K22" s="228"/>
      <c r="L22" s="227">
        <v>0</v>
      </c>
      <c r="M22" s="346"/>
      <c r="N22" s="345">
        <f>+M22*3</f>
        <v>0</v>
      </c>
      <c r="O22" s="28">
        <v>31</v>
      </c>
      <c r="P22" s="75">
        <f t="shared" si="0"/>
        <v>150</v>
      </c>
      <c r="Q22" s="218"/>
      <c r="R22" s="11">
        <f t="shared" si="1"/>
        <v>150</v>
      </c>
      <c r="S22" s="107"/>
      <c r="T22" s="5"/>
      <c r="U22" s="32">
        <f>+U20-U21</f>
        <v>97.168141592920392</v>
      </c>
      <c r="V22" s="47"/>
      <c r="W22" s="33"/>
      <c r="X22" s="262" t="s">
        <v>59</v>
      </c>
      <c r="Z22" s="282">
        <f t="shared" si="2"/>
        <v>43678</v>
      </c>
      <c r="AA22" s="318"/>
      <c r="AB22" s="281"/>
      <c r="AC22" s="33" t="s">
        <v>154</v>
      </c>
    </row>
    <row r="23" spans="1:29">
      <c r="A23" s="215"/>
      <c r="H23" s="142"/>
      <c r="I23" s="25" t="s">
        <v>9</v>
      </c>
      <c r="J23" s="81" t="s">
        <v>128</v>
      </c>
      <c r="K23" s="228"/>
      <c r="L23" s="227">
        <v>0</v>
      </c>
      <c r="M23" s="346"/>
      <c r="N23" s="345">
        <f>+M23*3</f>
        <v>0</v>
      </c>
      <c r="O23" s="28">
        <v>16</v>
      </c>
      <c r="P23" s="75">
        <f t="shared" si="0"/>
        <v>96</v>
      </c>
      <c r="Q23" s="218"/>
      <c r="R23" s="11">
        <f t="shared" si="1"/>
        <v>96</v>
      </c>
      <c r="S23" s="107"/>
      <c r="T23" s="5"/>
      <c r="U23" s="34">
        <v>150</v>
      </c>
      <c r="V23" s="38">
        <f>+U23-U22</f>
        <v>52.831858407079608</v>
      </c>
      <c r="W23" s="39" t="s">
        <v>63</v>
      </c>
      <c r="X23" s="263">
        <f>150-V23</f>
        <v>97.168141592920392</v>
      </c>
      <c r="Z23" s="282">
        <f t="shared" si="2"/>
        <v>43679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346"/>
      <c r="N24" s="345">
        <v>0</v>
      </c>
      <c r="O24" s="28"/>
      <c r="P24" s="11">
        <f t="shared" si="0"/>
        <v>0</v>
      </c>
      <c r="Q24" s="218"/>
      <c r="R24" s="11">
        <f t="shared" si="1"/>
        <v>0</v>
      </c>
      <c r="S24" s="241"/>
      <c r="T24" s="5"/>
      <c r="U24" s="10"/>
      <c r="X24" s="37"/>
      <c r="Z24" s="282">
        <f t="shared" si="2"/>
        <v>43680</v>
      </c>
      <c r="AA24" s="318"/>
      <c r="AB24" s="281"/>
      <c r="AC24" s="61"/>
    </row>
    <row r="25" spans="1:29">
      <c r="H25" s="251" t="s">
        <v>50</v>
      </c>
      <c r="I25" s="275" t="s">
        <v>328</v>
      </c>
      <c r="J25" s="276" t="s">
        <v>329</v>
      </c>
      <c r="K25" s="277"/>
      <c r="L25" s="278">
        <v>0</v>
      </c>
      <c r="M25" s="347"/>
      <c r="N25" s="348">
        <v>0</v>
      </c>
      <c r="O25" s="277"/>
      <c r="P25" s="278">
        <f t="shared" si="0"/>
        <v>0</v>
      </c>
      <c r="Q25" s="279"/>
      <c r="R25" s="278">
        <f t="shared" si="1"/>
        <v>0</v>
      </c>
      <c r="S25" s="280"/>
      <c r="T25" s="5"/>
      <c r="Z25" s="282">
        <f t="shared" si="2"/>
        <v>43681</v>
      </c>
      <c r="AA25" s="318"/>
      <c r="AB25" s="281"/>
      <c r="AC25" s="61"/>
    </row>
    <row r="26" spans="1:29">
      <c r="A26" s="237"/>
      <c r="B26" s="237"/>
      <c r="C26" s="237"/>
      <c r="D26" s="238"/>
      <c r="E26" s="237"/>
      <c r="F26" s="239"/>
      <c r="G26" s="237"/>
      <c r="H26" s="142"/>
      <c r="I26" s="25" t="s">
        <v>51</v>
      </c>
      <c r="J26" s="96" t="s">
        <v>134</v>
      </c>
      <c r="K26" s="29"/>
      <c r="L26" s="27">
        <f>+K26*3</f>
        <v>0</v>
      </c>
      <c r="M26" s="346"/>
      <c r="N26" s="345">
        <f>+M26*3</f>
        <v>0</v>
      </c>
      <c r="O26" s="28">
        <v>22</v>
      </c>
      <c r="P26" s="11">
        <f t="shared" si="0"/>
        <v>132</v>
      </c>
      <c r="Q26" s="218"/>
      <c r="R26" s="240">
        <f t="shared" si="1"/>
        <v>132</v>
      </c>
      <c r="S26" s="241"/>
      <c r="T26" s="5"/>
      <c r="U26" s="332" t="s">
        <v>382</v>
      </c>
      <c r="Z26" s="282">
        <f t="shared" si="2"/>
        <v>43682</v>
      </c>
      <c r="AA26" s="318"/>
      <c r="AB26" s="281"/>
      <c r="AC26" s="65"/>
    </row>
    <row r="27" spans="1:29">
      <c r="A27" s="215"/>
      <c r="H27" s="242" t="s">
        <v>170</v>
      </c>
      <c r="I27" s="188" t="s">
        <v>61</v>
      </c>
      <c r="J27" s="189" t="s">
        <v>137</v>
      </c>
      <c r="K27" s="192"/>
      <c r="L27" s="193">
        <f>3*K27</f>
        <v>0</v>
      </c>
      <c r="M27" s="347"/>
      <c r="N27" s="348">
        <f>5*M27</f>
        <v>0</v>
      </c>
      <c r="O27" s="192"/>
      <c r="P27" s="193">
        <f t="shared" si="0"/>
        <v>0</v>
      </c>
      <c r="Q27" s="221"/>
      <c r="R27" s="329">
        <f t="shared" si="1"/>
        <v>0</v>
      </c>
      <c r="S27" s="106"/>
      <c r="T27" s="5"/>
      <c r="Z27" s="282">
        <f t="shared" si="2"/>
        <v>43683</v>
      </c>
      <c r="AA27" s="319"/>
      <c r="AB27" s="281"/>
      <c r="AC27" s="66"/>
    </row>
    <row r="28" spans="1:29">
      <c r="A28" s="215"/>
      <c r="H28" s="95"/>
      <c r="I28" s="25" t="s">
        <v>14</v>
      </c>
      <c r="J28" s="81" t="s">
        <v>125</v>
      </c>
      <c r="K28" s="228"/>
      <c r="L28" s="227">
        <f>+K28*3</f>
        <v>0</v>
      </c>
      <c r="M28" s="346"/>
      <c r="N28" s="345">
        <f>3*M28</f>
        <v>0</v>
      </c>
      <c r="O28" s="28">
        <v>30</v>
      </c>
      <c r="P28" s="75">
        <f t="shared" si="0"/>
        <v>150</v>
      </c>
      <c r="Q28" s="218"/>
      <c r="R28" s="11">
        <f t="shared" si="1"/>
        <v>150</v>
      </c>
      <c r="S28" s="107"/>
      <c r="T28" s="5"/>
      <c r="U28" s="287" t="s">
        <v>347</v>
      </c>
      <c r="Z28" s="314" t="s">
        <v>150</v>
      </c>
      <c r="AA28" s="315">
        <f>SUM(AA17:AA27)</f>
        <v>4</v>
      </c>
      <c r="AB28" s="316" t="s">
        <v>148</v>
      </c>
      <c r="AC28" s="68"/>
    </row>
    <row r="29" spans="1:29">
      <c r="A29" s="215"/>
      <c r="H29" s="83"/>
      <c r="I29" s="126" t="s">
        <v>79</v>
      </c>
      <c r="J29" s="82" t="s">
        <v>110</v>
      </c>
      <c r="K29" s="228"/>
      <c r="L29" s="227">
        <v>0</v>
      </c>
      <c r="M29" s="346"/>
      <c r="N29" s="345">
        <v>0</v>
      </c>
      <c r="O29" s="76">
        <v>30</v>
      </c>
      <c r="P29" s="75">
        <f t="shared" si="0"/>
        <v>150</v>
      </c>
      <c r="Q29" s="217"/>
      <c r="R29" s="11">
        <f t="shared" si="1"/>
        <v>150</v>
      </c>
      <c r="S29" s="106"/>
      <c r="T29" s="5"/>
      <c r="Z29" s="184"/>
      <c r="AA29" s="171">
        <f>SUM(AB17:AB27)</f>
        <v>15</v>
      </c>
      <c r="AB29" s="185" t="s">
        <v>149</v>
      </c>
      <c r="AC29" s="69"/>
    </row>
    <row r="30" spans="1:29" ht="16.5">
      <c r="H30" s="83"/>
      <c r="I30" s="269" t="s">
        <v>214</v>
      </c>
      <c r="J30" s="270" t="s">
        <v>215</v>
      </c>
      <c r="K30" s="271"/>
      <c r="L30" s="272">
        <v>0</v>
      </c>
      <c r="M30" s="346"/>
      <c r="N30" s="345">
        <f>3*M30</f>
        <v>0</v>
      </c>
      <c r="O30" s="271">
        <v>30</v>
      </c>
      <c r="P30" s="272">
        <f t="shared" si="0"/>
        <v>150</v>
      </c>
      <c r="Q30" s="273"/>
      <c r="R30" s="272">
        <f t="shared" si="1"/>
        <v>150</v>
      </c>
      <c r="S30" s="274"/>
      <c r="T30" s="5"/>
      <c r="Z30" s="186" t="s">
        <v>160</v>
      </c>
      <c r="AA30" s="284">
        <f>+AA29/AA28</f>
        <v>3.75</v>
      </c>
      <c r="AB30" s="173" t="s">
        <v>150</v>
      </c>
      <c r="AC30" s="65"/>
    </row>
    <row r="31" spans="1:29">
      <c r="A31" s="237"/>
      <c r="B31" s="237"/>
      <c r="C31" s="237"/>
      <c r="D31" s="238"/>
      <c r="E31" s="237"/>
      <c r="F31" s="239"/>
      <c r="G31" s="237"/>
      <c r="H31" s="142"/>
      <c r="I31" s="25" t="s">
        <v>45</v>
      </c>
      <c r="J31" s="96" t="s">
        <v>133</v>
      </c>
      <c r="K31" s="29"/>
      <c r="L31" s="27">
        <f>+K31*3</f>
        <v>0</v>
      </c>
      <c r="M31" s="346"/>
      <c r="N31" s="345">
        <f>+M31*3</f>
        <v>0</v>
      </c>
      <c r="O31" s="28">
        <v>29</v>
      </c>
      <c r="P31" s="11">
        <f t="shared" si="0"/>
        <v>150</v>
      </c>
      <c r="Q31" s="218"/>
      <c r="R31" s="240">
        <f t="shared" si="1"/>
        <v>150</v>
      </c>
      <c r="S31" s="241"/>
      <c r="T31" s="5"/>
      <c r="W31">
        <v>335.21</v>
      </c>
    </row>
    <row r="32" spans="1:29">
      <c r="A32" s="215"/>
      <c r="H32" s="142"/>
      <c r="I32" s="25" t="s">
        <v>13</v>
      </c>
      <c r="J32" s="81" t="s">
        <v>319</v>
      </c>
      <c r="K32" s="228"/>
      <c r="L32" s="227">
        <f>3*K32</f>
        <v>0</v>
      </c>
      <c r="M32" s="346"/>
      <c r="N32" s="345">
        <f>5*M32</f>
        <v>0</v>
      </c>
      <c r="O32" s="28">
        <v>30</v>
      </c>
      <c r="P32" s="75">
        <f t="shared" si="0"/>
        <v>150</v>
      </c>
      <c r="Q32" s="218"/>
      <c r="R32" s="57">
        <f t="shared" si="1"/>
        <v>150</v>
      </c>
      <c r="S32" s="107"/>
      <c r="T32" s="5"/>
      <c r="W32">
        <v>134.09</v>
      </c>
    </row>
    <row r="33" spans="1:32">
      <c r="A33" s="215"/>
      <c r="H33" s="95"/>
      <c r="I33" s="25" t="s">
        <v>31</v>
      </c>
      <c r="J33" s="81" t="s">
        <v>127</v>
      </c>
      <c r="K33" s="228"/>
      <c r="L33" s="227">
        <v>0</v>
      </c>
      <c r="M33" s="346"/>
      <c r="N33" s="345">
        <f>3*M33</f>
        <v>0</v>
      </c>
      <c r="O33" s="28">
        <v>29</v>
      </c>
      <c r="P33" s="75">
        <f t="shared" si="0"/>
        <v>150</v>
      </c>
      <c r="Q33" s="218"/>
      <c r="R33" s="11">
        <f t="shared" si="1"/>
        <v>150</v>
      </c>
      <c r="S33" s="107"/>
      <c r="T33" s="5"/>
      <c r="W33" s="103">
        <f>+W32+W31</f>
        <v>469.29999999999995</v>
      </c>
    </row>
    <row r="34" spans="1:32" s="4" customFormat="1">
      <c r="A34" s="215"/>
      <c r="B34"/>
      <c r="C34"/>
      <c r="D34" s="1"/>
      <c r="E34"/>
      <c r="F34" s="2"/>
      <c r="G34"/>
      <c r="H34" s="95"/>
      <c r="I34" s="25" t="s">
        <v>30</v>
      </c>
      <c r="J34" s="81" t="s">
        <v>126</v>
      </c>
      <c r="K34" s="228"/>
      <c r="L34" s="227">
        <f>+K34*3</f>
        <v>0</v>
      </c>
      <c r="M34" s="346"/>
      <c r="N34" s="345">
        <f>+M34*3</f>
        <v>0</v>
      </c>
      <c r="O34" s="28">
        <v>32</v>
      </c>
      <c r="P34" s="75">
        <f t="shared" si="0"/>
        <v>150</v>
      </c>
      <c r="Q34" s="218"/>
      <c r="R34" s="320">
        <f t="shared" si="1"/>
        <v>150</v>
      </c>
      <c r="S34" s="107"/>
      <c r="T34" s="5"/>
      <c r="U34"/>
      <c r="V34" s="46"/>
      <c r="W34"/>
      <c r="X34"/>
      <c r="Y34"/>
      <c r="Z34"/>
      <c r="AA34"/>
      <c r="AB34"/>
      <c r="AC34"/>
      <c r="AD34"/>
      <c r="AE34"/>
      <c r="AF34"/>
    </row>
    <row r="35" spans="1:32">
      <c r="A35" s="215"/>
      <c r="H35" s="83"/>
      <c r="I35" s="269" t="s">
        <v>186</v>
      </c>
      <c r="J35" s="270" t="s">
        <v>187</v>
      </c>
      <c r="K35" s="271"/>
      <c r="L35" s="272">
        <v>0</v>
      </c>
      <c r="M35" s="346"/>
      <c r="N35" s="345">
        <f>5*M35</f>
        <v>0</v>
      </c>
      <c r="O35" s="271"/>
      <c r="P35" s="272">
        <f t="shared" si="0"/>
        <v>0</v>
      </c>
      <c r="Q35" s="273"/>
      <c r="R35" s="272">
        <f t="shared" si="1"/>
        <v>0</v>
      </c>
      <c r="S35" s="274"/>
      <c r="T35" s="5"/>
    </row>
    <row r="36" spans="1:32">
      <c r="A36" s="215"/>
      <c r="H36" s="83"/>
      <c r="I36" s="25" t="s">
        <v>17</v>
      </c>
      <c r="J36" s="81" t="s">
        <v>123</v>
      </c>
      <c r="K36" s="228"/>
      <c r="L36" s="227">
        <f>+K36*3</f>
        <v>0</v>
      </c>
      <c r="M36" s="346"/>
      <c r="N36" s="345">
        <v>0</v>
      </c>
      <c r="O36" s="74">
        <v>24</v>
      </c>
      <c r="P36" s="75">
        <f t="shared" si="0"/>
        <v>144</v>
      </c>
      <c r="Q36" s="218"/>
      <c r="R36" s="11">
        <f t="shared" si="1"/>
        <v>144</v>
      </c>
      <c r="S36" s="107"/>
      <c r="T36" s="5"/>
    </row>
    <row r="37" spans="1:32">
      <c r="A37" s="215"/>
      <c r="H37" s="83"/>
      <c r="I37" s="25" t="s">
        <v>60</v>
      </c>
      <c r="J37" s="81" t="s">
        <v>132</v>
      </c>
      <c r="K37" s="228"/>
      <c r="L37" s="227">
        <v>0</v>
      </c>
      <c r="M37" s="346"/>
      <c r="N37" s="345">
        <v>0</v>
      </c>
      <c r="O37" s="74"/>
      <c r="P37" s="75">
        <f>IF(O37&gt;25,150,(O37)*6)</f>
        <v>0</v>
      </c>
      <c r="Q37" s="218"/>
      <c r="R37" s="11">
        <f>+L37+N37+P37+Q37</f>
        <v>0</v>
      </c>
      <c r="S37" s="107"/>
      <c r="T37" s="5"/>
    </row>
    <row r="38" spans="1:32">
      <c r="H38" s="142"/>
      <c r="I38" s="25" t="s">
        <v>233</v>
      </c>
      <c r="J38" s="81" t="s">
        <v>234</v>
      </c>
      <c r="K38" s="228"/>
      <c r="L38" s="227">
        <v>0</v>
      </c>
      <c r="M38" s="346"/>
      <c r="N38" s="345">
        <f>+M38*5</f>
        <v>0</v>
      </c>
      <c r="O38" s="28"/>
      <c r="P38" s="75">
        <f t="shared" si="0"/>
        <v>0</v>
      </c>
      <c r="Q38" s="218"/>
      <c r="R38" s="57">
        <f t="shared" si="1"/>
        <v>0</v>
      </c>
      <c r="S38" s="107"/>
      <c r="T38" s="5"/>
      <c r="AF38" s="4"/>
    </row>
    <row r="39" spans="1:32">
      <c r="A39" s="215"/>
      <c r="H39" s="95"/>
      <c r="I39" s="25" t="s">
        <v>8</v>
      </c>
      <c r="J39" s="81" t="s">
        <v>120</v>
      </c>
      <c r="K39" s="228"/>
      <c r="L39" s="227">
        <v>0</v>
      </c>
      <c r="M39" s="346"/>
      <c r="N39" s="345">
        <v>0</v>
      </c>
      <c r="O39" s="28">
        <v>35</v>
      </c>
      <c r="P39" s="75">
        <f t="shared" si="0"/>
        <v>150</v>
      </c>
      <c r="Q39" s="218"/>
      <c r="R39" s="11">
        <f t="shared" si="1"/>
        <v>150</v>
      </c>
      <c r="S39" s="107"/>
      <c r="T39" s="5"/>
    </row>
    <row r="40" spans="1:32">
      <c r="A40" s="215"/>
      <c r="H40" s="83"/>
      <c r="I40" s="25" t="s">
        <v>11</v>
      </c>
      <c r="J40" s="96" t="s">
        <v>130</v>
      </c>
      <c r="K40" s="228"/>
      <c r="L40" s="227">
        <f>+K40*3</f>
        <v>0</v>
      </c>
      <c r="M40" s="346"/>
      <c r="N40" s="345">
        <f>+M40*3</f>
        <v>0</v>
      </c>
      <c r="O40" s="74">
        <v>28</v>
      </c>
      <c r="P40" s="75">
        <f t="shared" si="0"/>
        <v>150</v>
      </c>
      <c r="Q40" s="220"/>
      <c r="R40" s="11">
        <f t="shared" si="1"/>
        <v>150</v>
      </c>
      <c r="S40" s="107"/>
      <c r="T40" s="5"/>
    </row>
    <row r="41" spans="1:32">
      <c r="H41" s="83"/>
      <c r="I41" s="25" t="s">
        <v>44</v>
      </c>
      <c r="J41" s="96" t="s">
        <v>124</v>
      </c>
      <c r="K41" s="228"/>
      <c r="L41" s="227">
        <f>+K41*3</f>
        <v>0</v>
      </c>
      <c r="M41" s="346"/>
      <c r="N41" s="345">
        <f>+M41*3</f>
        <v>0</v>
      </c>
      <c r="O41" s="113"/>
      <c r="P41" s="75">
        <f t="shared" si="0"/>
        <v>0</v>
      </c>
      <c r="Q41" s="218"/>
      <c r="R41" s="11">
        <f t="shared" si="1"/>
        <v>0</v>
      </c>
      <c r="S41" s="107"/>
      <c r="T41" s="5"/>
    </row>
    <row r="42" spans="1:32">
      <c r="H42" s="83"/>
      <c r="I42" s="25" t="s">
        <v>6</v>
      </c>
      <c r="J42" s="96" t="s">
        <v>116</v>
      </c>
      <c r="K42" s="228"/>
      <c r="L42" s="227">
        <f>+K42*3</f>
        <v>0</v>
      </c>
      <c r="M42" s="346"/>
      <c r="N42" s="345">
        <f>+M42*3</f>
        <v>0</v>
      </c>
      <c r="O42" s="74"/>
      <c r="P42" s="75">
        <f t="shared" si="0"/>
        <v>0</v>
      </c>
      <c r="Q42" s="220"/>
      <c r="R42" s="11">
        <f t="shared" si="1"/>
        <v>0</v>
      </c>
      <c r="S42" s="107"/>
      <c r="T42" s="5"/>
    </row>
    <row r="43" spans="1:32">
      <c r="H43" s="95"/>
      <c r="I43" s="25" t="s">
        <v>53</v>
      </c>
      <c r="J43" s="81" t="s">
        <v>135</v>
      </c>
      <c r="K43" s="228"/>
      <c r="L43" s="227">
        <v>0</v>
      </c>
      <c r="M43" s="346"/>
      <c r="N43" s="345">
        <v>0</v>
      </c>
      <c r="O43" s="28">
        <v>2</v>
      </c>
      <c r="P43" s="75">
        <f t="shared" si="0"/>
        <v>12</v>
      </c>
      <c r="Q43" s="218"/>
      <c r="R43" s="11">
        <f t="shared" si="1"/>
        <v>12</v>
      </c>
      <c r="S43" s="107"/>
      <c r="T43" s="5"/>
    </row>
    <row r="44" spans="1:32">
      <c r="H44" s="242" t="s">
        <v>170</v>
      </c>
      <c r="I44" s="336" t="s">
        <v>12</v>
      </c>
      <c r="J44" s="337" t="s">
        <v>114</v>
      </c>
      <c r="K44" s="338"/>
      <c r="L44" s="339">
        <v>0</v>
      </c>
      <c r="M44" s="349"/>
      <c r="N44" s="350">
        <f>3*M44</f>
        <v>0</v>
      </c>
      <c r="O44" s="338"/>
      <c r="P44" s="339">
        <f t="shared" si="0"/>
        <v>0</v>
      </c>
      <c r="Q44" s="340"/>
      <c r="R44" s="341">
        <f t="shared" si="1"/>
        <v>0</v>
      </c>
      <c r="S44" s="148"/>
      <c r="T44" s="5"/>
    </row>
    <row r="45" spans="1:32">
      <c r="I45" s="13"/>
      <c r="J45" s="14"/>
      <c r="K45" s="234">
        <f t="shared" ref="K45:S45" si="3">SUM(K5:K44)</f>
        <v>0</v>
      </c>
      <c r="L45" s="235">
        <f t="shared" si="3"/>
        <v>0</v>
      </c>
      <c r="M45" s="167">
        <f t="shared" si="3"/>
        <v>0</v>
      </c>
      <c r="N45" s="168">
        <f t="shared" si="3"/>
        <v>0</v>
      </c>
      <c r="O45" s="77">
        <f t="shared" si="3"/>
        <v>578</v>
      </c>
      <c r="P45" s="78">
        <f t="shared" si="3"/>
        <v>2964</v>
      </c>
      <c r="Q45" s="323">
        <f t="shared" si="3"/>
        <v>0</v>
      </c>
      <c r="R45" s="78">
        <f t="shared" si="3"/>
        <v>2964</v>
      </c>
      <c r="S45" s="102">
        <f t="shared" si="3"/>
        <v>0</v>
      </c>
      <c r="T45" s="5"/>
    </row>
    <row r="46" spans="1:32">
      <c r="J46" s="200">
        <f ca="1">TODAY()</f>
        <v>43825</v>
      </c>
      <c r="K46" s="41"/>
      <c r="M46" s="42"/>
      <c r="N46" s="41"/>
      <c r="O46" s="45" t="s">
        <v>81</v>
      </c>
      <c r="Q46" s="42"/>
      <c r="R46" s="45">
        <f>+R8+R11+R16+R21+R25+R27+R44</f>
        <v>36</v>
      </c>
      <c r="T46" s="5"/>
      <c r="AC46">
        <v>4</v>
      </c>
    </row>
    <row r="47" spans="1:32" ht="15" customHeight="1">
      <c r="L47" s="43"/>
      <c r="M47" s="44"/>
      <c r="N47" s="125"/>
      <c r="O47" s="43" t="s">
        <v>91</v>
      </c>
      <c r="P47" s="114"/>
      <c r="Q47" s="110" t="s">
        <v>58</v>
      </c>
      <c r="R47" s="111">
        <f>+R45-R46</f>
        <v>2928</v>
      </c>
      <c r="S47" s="10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30" t="s">
        <v>338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31" t="s">
        <v>339</v>
      </c>
      <c r="P50" s="19"/>
      <c r="T50" s="5"/>
    </row>
    <row r="51" spans="9:29">
      <c r="I51" s="330" t="s">
        <v>390</v>
      </c>
      <c r="P51" s="19"/>
      <c r="T51" s="5"/>
    </row>
    <row r="52" spans="9:29">
      <c r="I52" s="330" t="s">
        <v>391</v>
      </c>
      <c r="P52" s="19"/>
      <c r="T52" s="5"/>
      <c r="V52" s="59"/>
      <c r="W52" s="60"/>
      <c r="X52" s="61"/>
    </row>
    <row r="53" spans="9:29">
      <c r="I53" s="330" t="s">
        <v>392</v>
      </c>
      <c r="P53" s="19"/>
      <c r="U53" s="58"/>
      <c r="V53" s="59"/>
      <c r="W53" s="60"/>
      <c r="X53" s="61"/>
    </row>
    <row r="54" spans="9:29">
      <c r="I54" s="330" t="s">
        <v>393</v>
      </c>
      <c r="U54" s="58"/>
      <c r="V54" s="59"/>
      <c r="W54" s="62"/>
      <c r="X54" s="65"/>
    </row>
    <row r="55" spans="9:29">
      <c r="I55" s="330" t="s">
        <v>394</v>
      </c>
      <c r="U55" s="58"/>
      <c r="V55" s="59"/>
      <c r="W55" s="67"/>
      <c r="X55" s="60"/>
    </row>
    <row r="56" spans="9:29">
      <c r="I56" s="330" t="s">
        <v>395</v>
      </c>
      <c r="U56" s="58"/>
      <c r="V56" s="59"/>
      <c r="W56" s="60"/>
      <c r="X56" s="60"/>
    </row>
    <row r="57" spans="9:29">
      <c r="I57" s="330" t="s">
        <v>343</v>
      </c>
      <c r="U57" s="58"/>
      <c r="V57" s="59"/>
      <c r="W57" s="60"/>
      <c r="X57" s="68"/>
    </row>
    <row r="58" spans="9:29">
      <c r="U58" s="58"/>
      <c r="V58" s="59"/>
      <c r="W58" s="60"/>
      <c r="X58" s="69"/>
    </row>
    <row r="59" spans="9:29">
      <c r="U59" s="58"/>
      <c r="V59" s="59"/>
      <c r="W59" s="60"/>
      <c r="X59" s="60"/>
    </row>
    <row r="60" spans="9:29">
      <c r="U60" s="58"/>
      <c r="V60" s="59"/>
      <c r="W60" s="60"/>
      <c r="X60" s="60"/>
    </row>
    <row r="61" spans="9:29">
      <c r="U61" s="58"/>
      <c r="V61" s="59"/>
      <c r="W61" s="62"/>
      <c r="X61" s="60"/>
    </row>
    <row r="62" spans="9:29">
      <c r="U62" s="58"/>
      <c r="V62" s="59"/>
      <c r="W62" s="62"/>
      <c r="X62" s="60"/>
    </row>
    <row r="63" spans="9:29">
      <c r="U63" s="64"/>
      <c r="V63" s="59"/>
      <c r="W63" s="60"/>
      <c r="X63" s="60"/>
    </row>
    <row r="64" spans="9:29">
      <c r="U64" s="58"/>
      <c r="V64" s="66"/>
      <c r="W64" s="67"/>
      <c r="X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  <row r="68" spans="21:23">
      <c r="U68" s="60"/>
      <c r="V68" s="59"/>
      <c r="W68" s="60"/>
    </row>
    <row r="69" spans="21:23">
      <c r="U69" s="60"/>
      <c r="V69" s="59"/>
      <c r="W69" s="60"/>
    </row>
    <row r="70" spans="21:23">
      <c r="U70" s="60"/>
      <c r="V70" s="59"/>
      <c r="W70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86" priority="4" operator="lessThanOrEqual">
      <formula>0</formula>
    </cfRule>
  </conditionalFormatting>
  <conditionalFormatting sqref="R5:R44">
    <cfRule type="cellIs" dxfId="85" priority="3" operator="greaterThan">
      <formula>0</formula>
    </cfRule>
  </conditionalFormatting>
  <conditionalFormatting sqref="R44">
    <cfRule type="cellIs" dxfId="84" priority="2" operator="greaterThan">
      <formula>0</formula>
    </cfRule>
  </conditionalFormatting>
  <conditionalFormatting sqref="R27">
    <cfRule type="cellIs" dxfId="83" priority="1" operator="greaterThan">
      <formula>0</formula>
    </cfRule>
  </conditionalFormatting>
  <printOptions horizontalCentered="1"/>
  <pageMargins left="0" right="0" top="0.47244094488188981" bottom="0" header="0" footer="0"/>
  <pageSetup paperSize="9" orientation="portrait" r:id="rId1"/>
  <ignoredErrors>
    <ignoredError sqref="L16:N27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70"/>
  <sheetViews>
    <sheetView zoomScale="85" zoomScaleNormal="85" workbookViewId="0">
      <pane xSplit="10" ySplit="4" topLeftCell="K45" activePane="bottomRight" state="frozen"/>
      <selection pane="topRight" activeCell="K1" sqref="K1"/>
      <selection pane="bottomLeft" activeCell="A5" sqref="A5"/>
      <selection pane="bottomRight" activeCell="H79" sqref="H79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.7109375" customWidth="1"/>
    <col min="9" max="9" width="7.42578125" customWidth="1"/>
    <col min="10" max="10" width="25.7109375" customWidth="1"/>
    <col min="11" max="11" width="1.7109375" customWidth="1"/>
    <col min="12" max="12" width="1.5703125" customWidth="1"/>
    <col min="13" max="13" width="6.7109375" customWidth="1"/>
    <col min="14" max="14" width="8.7109375" customWidth="1"/>
    <col min="15" max="15" width="6.85546875" customWidth="1"/>
    <col min="16" max="16" width="12.140625" customWidth="1"/>
    <col min="17" max="17" width="7.7109375" customWidth="1"/>
    <col min="18" max="18" width="15.7109375" customWidth="1"/>
    <col min="19" max="19" width="3.7109375" style="103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 ht="14.1" customHeight="1">
      <c r="H2" s="83"/>
      <c r="I2" s="429" t="s">
        <v>396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285" t="s">
        <v>389</v>
      </c>
      <c r="O4" s="87" t="s">
        <v>15</v>
      </c>
      <c r="P4" s="87" t="s">
        <v>383</v>
      </c>
      <c r="Q4" s="99" t="s">
        <v>384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v>0</v>
      </c>
      <c r="O5" s="76">
        <v>32</v>
      </c>
      <c r="P5" s="75">
        <f t="shared" ref="P5:P44" si="0">IF(O5&gt;25,150,(O5)*6)</f>
        <v>150</v>
      </c>
      <c r="Q5" s="217"/>
      <c r="R5" s="11">
        <f t="shared" ref="R5:R44" si="1">+L5+N5+P5+Q5</f>
        <v>150</v>
      </c>
      <c r="S5" s="106"/>
      <c r="T5" s="5"/>
      <c r="U5" s="258">
        <v>815.2</v>
      </c>
      <c r="V5" s="259">
        <v>94</v>
      </c>
      <c r="W5" s="260">
        <v>721.2</v>
      </c>
      <c r="X5" s="333" t="s">
        <v>215</v>
      </c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26">
        <f>+V6+W6</f>
        <v>813.84359400998335</v>
      </c>
      <c r="V6" s="256">
        <f>+V5*W6/W5</f>
        <v>93.843594009983349</v>
      </c>
      <c r="W6" s="261">
        <v>720</v>
      </c>
      <c r="X6" s="334" t="s">
        <v>381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164"/>
      <c r="N7" s="163">
        <v>0</v>
      </c>
      <c r="O7" s="74">
        <v>37</v>
      </c>
      <c r="P7" s="75">
        <f t="shared" si="0"/>
        <v>150</v>
      </c>
      <c r="Q7" s="218"/>
      <c r="R7" s="9">
        <f t="shared" si="1"/>
        <v>150</v>
      </c>
      <c r="S7" s="106"/>
      <c r="T7" s="5"/>
      <c r="U7" s="32">
        <f>+U5-U6+0.01</f>
        <v>1.3664059900166967</v>
      </c>
      <c r="V7" s="47"/>
      <c r="W7" s="33"/>
      <c r="X7" s="262" t="s">
        <v>59</v>
      </c>
    </row>
    <row r="8" spans="8:29">
      <c r="H8" s="251" t="s">
        <v>50</v>
      </c>
      <c r="I8" s="275" t="s">
        <v>387</v>
      </c>
      <c r="J8" s="276" t="s">
        <v>388</v>
      </c>
      <c r="K8" s="277"/>
      <c r="L8" s="278">
        <v>0</v>
      </c>
      <c r="M8" s="277">
        <v>12</v>
      </c>
      <c r="N8" s="278">
        <v>0</v>
      </c>
      <c r="O8" s="277"/>
      <c r="P8" s="278">
        <f>IF(O8&gt;25,150,(O8)*6)</f>
        <v>0</v>
      </c>
      <c r="Q8" s="279"/>
      <c r="R8" s="278">
        <f>+L8+N8+P8+Q8</f>
        <v>0</v>
      </c>
      <c r="S8" s="280"/>
      <c r="T8" s="5"/>
      <c r="U8" s="34">
        <v>150</v>
      </c>
      <c r="V8" s="335">
        <f>+U8-U7</f>
        <v>148.63359400998331</v>
      </c>
      <c r="W8" s="39" t="s">
        <v>63</v>
      </c>
      <c r="X8" s="263">
        <f>150-V8</f>
        <v>1.3664059900166876</v>
      </c>
    </row>
    <row r="9" spans="8:29">
      <c r="H9" s="83"/>
      <c r="I9" s="25" t="s">
        <v>2</v>
      </c>
      <c r="J9" s="81" t="s">
        <v>107</v>
      </c>
      <c r="K9" s="228"/>
      <c r="L9" s="227">
        <f>+K9*3</f>
        <v>0</v>
      </c>
      <c r="M9" s="164"/>
      <c r="N9" s="163">
        <f>+M9*3</f>
        <v>0</v>
      </c>
      <c r="O9" s="74">
        <v>36</v>
      </c>
      <c r="P9" s="75">
        <f t="shared" si="0"/>
        <v>150</v>
      </c>
      <c r="Q9" s="218"/>
      <c r="R9" s="9">
        <f t="shared" si="1"/>
        <v>150</v>
      </c>
      <c r="S9" s="138"/>
      <c r="T9" s="5"/>
      <c r="U9" s="10"/>
      <c r="X9" s="37"/>
    </row>
    <row r="10" spans="8:29" ht="15" customHeight="1">
      <c r="H10" s="95"/>
      <c r="I10" s="25" t="s">
        <v>42</v>
      </c>
      <c r="J10" s="81" t="s">
        <v>119</v>
      </c>
      <c r="K10" s="228"/>
      <c r="L10" s="227">
        <f>+K10*3</f>
        <v>0</v>
      </c>
      <c r="M10" s="164"/>
      <c r="N10" s="163">
        <f>+M10*3</f>
        <v>0</v>
      </c>
      <c r="O10" s="28"/>
      <c r="P10" s="75">
        <f t="shared" si="0"/>
        <v>0</v>
      </c>
      <c r="Q10" s="218"/>
      <c r="R10" s="11">
        <f t="shared" si="1"/>
        <v>0</v>
      </c>
      <c r="S10" s="107"/>
      <c r="T10" s="5"/>
      <c r="U10" s="258">
        <v>988</v>
      </c>
      <c r="V10" s="259">
        <v>118.76</v>
      </c>
      <c r="W10" s="260">
        <v>869.24</v>
      </c>
      <c r="X10" s="333" t="s">
        <v>349</v>
      </c>
      <c r="Y10" s="266"/>
    </row>
    <row r="11" spans="8:29">
      <c r="H11" s="95"/>
      <c r="I11" s="25" t="s">
        <v>1</v>
      </c>
      <c r="J11" s="81" t="s">
        <v>106</v>
      </c>
      <c r="K11" s="228"/>
      <c r="L11" s="227">
        <f>3*K11</f>
        <v>0</v>
      </c>
      <c r="M11" s="164"/>
      <c r="N11" s="163">
        <f>3*M11</f>
        <v>0</v>
      </c>
      <c r="O11" s="28"/>
      <c r="P11" s="75">
        <f t="shared" si="0"/>
        <v>0</v>
      </c>
      <c r="Q11" s="218"/>
      <c r="R11" s="11">
        <f t="shared" si="1"/>
        <v>0</v>
      </c>
      <c r="S11" s="197"/>
      <c r="T11" s="5"/>
      <c r="U11" s="326">
        <f>+V11+W11</f>
        <v>935.44245547834896</v>
      </c>
      <c r="V11" s="256">
        <f>+V10*W11/W10</f>
        <v>112.44245547834892</v>
      </c>
      <c r="W11" s="261">
        <v>823</v>
      </c>
      <c r="X11" s="334" t="s">
        <v>348</v>
      </c>
    </row>
    <row r="12" spans="8:29">
      <c r="H12" s="242" t="s">
        <v>250</v>
      </c>
      <c r="I12" s="188" t="s">
        <v>56</v>
      </c>
      <c r="J12" s="189" t="s">
        <v>136</v>
      </c>
      <c r="K12" s="192"/>
      <c r="L12" s="193">
        <v>0</v>
      </c>
      <c r="M12" s="192"/>
      <c r="N12" s="193">
        <f>2.7*M12</f>
        <v>0</v>
      </c>
      <c r="O12" s="192"/>
      <c r="P12" s="193">
        <f t="shared" si="0"/>
        <v>0</v>
      </c>
      <c r="Q12" s="221"/>
      <c r="R12" s="329">
        <f t="shared" si="1"/>
        <v>0</v>
      </c>
      <c r="S12" s="107"/>
      <c r="T12" s="5"/>
      <c r="U12" s="32">
        <f>+U10-U11</f>
        <v>52.557544521651039</v>
      </c>
      <c r="V12" s="47"/>
      <c r="W12" s="33"/>
      <c r="X12" s="262" t="s">
        <v>59</v>
      </c>
    </row>
    <row r="13" spans="8:29">
      <c r="H13" s="95"/>
      <c r="I13" s="25" t="s">
        <v>16</v>
      </c>
      <c r="J13" s="81" t="s">
        <v>113</v>
      </c>
      <c r="K13" s="228"/>
      <c r="L13" s="227">
        <v>0</v>
      </c>
      <c r="M13" s="164"/>
      <c r="N13" s="163">
        <v>0</v>
      </c>
      <c r="O13" s="28">
        <v>27</v>
      </c>
      <c r="P13" s="75">
        <f t="shared" si="0"/>
        <v>150</v>
      </c>
      <c r="Q13" s="218"/>
      <c r="R13" s="9">
        <f t="shared" si="1"/>
        <v>150</v>
      </c>
      <c r="S13" s="106"/>
      <c r="T13" s="5"/>
      <c r="U13" s="34">
        <v>150</v>
      </c>
      <c r="V13" s="38">
        <f>+U13-U12</f>
        <v>97.442455478348961</v>
      </c>
      <c r="W13" s="39" t="s">
        <v>63</v>
      </c>
      <c r="X13" s="263">
        <f>150-V13</f>
        <v>52.557544521651039</v>
      </c>
    </row>
    <row r="14" spans="8:29">
      <c r="H14" s="83"/>
      <c r="I14" s="25" t="s">
        <v>92</v>
      </c>
      <c r="J14" s="81" t="s">
        <v>109</v>
      </c>
      <c r="K14" s="228"/>
      <c r="L14" s="227">
        <v>0</v>
      </c>
      <c r="M14" s="164"/>
      <c r="N14" s="163">
        <v>0</v>
      </c>
      <c r="O14" s="74"/>
      <c r="P14" s="75">
        <f t="shared" si="0"/>
        <v>0</v>
      </c>
      <c r="Q14" s="217"/>
      <c r="R14" s="9">
        <f t="shared" si="1"/>
        <v>0</v>
      </c>
      <c r="S14" s="107"/>
      <c r="T14" s="5"/>
      <c r="U14" s="10"/>
      <c r="X14" s="37"/>
    </row>
    <row r="15" spans="8:29">
      <c r="H15" s="83"/>
      <c r="I15" s="25" t="s">
        <v>20</v>
      </c>
      <c r="J15" s="81" t="s">
        <v>195</v>
      </c>
      <c r="K15" s="228"/>
      <c r="L15" s="227">
        <f>+K15*3</f>
        <v>0</v>
      </c>
      <c r="M15" s="164"/>
      <c r="N15" s="163">
        <f>+M15*3</f>
        <v>0</v>
      </c>
      <c r="O15" s="74">
        <v>31</v>
      </c>
      <c r="P15" s="75">
        <f t="shared" si="0"/>
        <v>150</v>
      </c>
      <c r="Q15" s="217"/>
      <c r="R15" s="9">
        <f t="shared" si="1"/>
        <v>150</v>
      </c>
      <c r="S15" s="107"/>
      <c r="T15" s="5"/>
      <c r="U15" s="258">
        <v>880</v>
      </c>
      <c r="V15" s="259">
        <v>114.4</v>
      </c>
      <c r="W15" s="327">
        <v>765.6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251" t="s">
        <v>50</v>
      </c>
      <c r="I16" s="275" t="s">
        <v>272</v>
      </c>
      <c r="J16" s="276" t="s">
        <v>271</v>
      </c>
      <c r="K16" s="277"/>
      <c r="L16" s="278">
        <v>0</v>
      </c>
      <c r="M16" s="277">
        <v>7</v>
      </c>
      <c r="N16" s="278">
        <f>3*M16</f>
        <v>21</v>
      </c>
      <c r="O16" s="277"/>
      <c r="P16" s="278">
        <f t="shared" si="0"/>
        <v>0</v>
      </c>
      <c r="Q16" s="279"/>
      <c r="R16" s="278">
        <f t="shared" si="1"/>
        <v>21</v>
      </c>
      <c r="S16" s="280"/>
      <c r="T16" s="5"/>
      <c r="U16" s="326">
        <f>+V16+W16</f>
        <v>945.97701149425291</v>
      </c>
      <c r="V16" s="256">
        <f>+V15*W16/W15</f>
        <v>122.97701149425289</v>
      </c>
      <c r="W16" s="261">
        <v>823</v>
      </c>
      <c r="X16" s="36" t="s">
        <v>350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25</v>
      </c>
      <c r="J17" s="81" t="s">
        <v>118</v>
      </c>
      <c r="K17" s="228"/>
      <c r="L17" s="227">
        <f>+K17*3</f>
        <v>0</v>
      </c>
      <c r="M17" s="164"/>
      <c r="N17" s="163">
        <f>+M17*3</f>
        <v>0</v>
      </c>
      <c r="O17" s="28">
        <v>19</v>
      </c>
      <c r="P17" s="75">
        <f t="shared" si="0"/>
        <v>114</v>
      </c>
      <c r="Q17" s="218"/>
      <c r="R17" s="11">
        <f t="shared" si="1"/>
        <v>114</v>
      </c>
      <c r="S17" s="107"/>
      <c r="T17" s="5"/>
      <c r="U17" s="32">
        <f>+U15-U16</f>
        <v>-65.977011494252906</v>
      </c>
      <c r="V17" s="47"/>
      <c r="W17" s="33"/>
      <c r="X17" s="262" t="s">
        <v>59</v>
      </c>
      <c r="Z17" s="282">
        <v>43673</v>
      </c>
      <c r="AA17" s="317">
        <v>1</v>
      </c>
      <c r="AB17" s="281">
        <v>3</v>
      </c>
      <c r="AC17" s="174" t="s">
        <v>157</v>
      </c>
    </row>
    <row r="18" spans="1:29">
      <c r="H18" s="95"/>
      <c r="I18" s="25" t="s">
        <v>41</v>
      </c>
      <c r="J18" s="81" t="s">
        <v>112</v>
      </c>
      <c r="K18" s="228"/>
      <c r="L18" s="227">
        <f>+K18*3</f>
        <v>0</v>
      </c>
      <c r="M18" s="164"/>
      <c r="N18" s="163">
        <f>+M18*3</f>
        <v>0</v>
      </c>
      <c r="O18" s="28"/>
      <c r="P18" s="75">
        <f t="shared" si="0"/>
        <v>0</v>
      </c>
      <c r="Q18" s="218"/>
      <c r="R18" s="11">
        <f t="shared" si="1"/>
        <v>0</v>
      </c>
      <c r="S18" s="107"/>
      <c r="T18" s="5"/>
      <c r="U18" s="34">
        <v>150</v>
      </c>
      <c r="V18" s="38">
        <f>+U18-U17</f>
        <v>215.97701149425291</v>
      </c>
      <c r="W18" s="39" t="s">
        <v>63</v>
      </c>
      <c r="X18" s="263">
        <f>150-V18</f>
        <v>-65.977011494252906</v>
      </c>
      <c r="Z18" s="282">
        <f>1+Z17</f>
        <v>43674</v>
      </c>
      <c r="AA18" s="318">
        <v>1</v>
      </c>
      <c r="AB18" s="281">
        <v>5</v>
      </c>
      <c r="AC18" s="33" t="s">
        <v>156</v>
      </c>
    </row>
    <row r="19" spans="1:29">
      <c r="A19" s="215"/>
      <c r="H19" s="83"/>
      <c r="I19" s="126" t="s">
        <v>71</v>
      </c>
      <c r="J19" s="80" t="s">
        <v>139</v>
      </c>
      <c r="K19" s="226"/>
      <c r="L19" s="227">
        <f>5*K19</f>
        <v>0</v>
      </c>
      <c r="M19" s="162"/>
      <c r="N19" s="163">
        <f>5*M19</f>
        <v>0</v>
      </c>
      <c r="O19" s="76">
        <v>35</v>
      </c>
      <c r="P19" s="75">
        <f t="shared" si="0"/>
        <v>150</v>
      </c>
      <c r="Q19" s="217"/>
      <c r="R19" s="11">
        <f t="shared" si="1"/>
        <v>150</v>
      </c>
      <c r="S19" s="106"/>
      <c r="T19" s="5"/>
      <c r="U19" s="10"/>
      <c r="X19" s="37"/>
      <c r="Z19" s="282">
        <f t="shared" ref="Z19:Z27" si="2">1+Z18</f>
        <v>43675</v>
      </c>
      <c r="AA19" s="318">
        <v>1</v>
      </c>
      <c r="AB19" s="281">
        <v>5</v>
      </c>
      <c r="AC19" s="33" t="s">
        <v>151</v>
      </c>
    </row>
    <row r="20" spans="1:29">
      <c r="A20" s="215"/>
      <c r="H20" s="141"/>
      <c r="I20" s="25" t="s">
        <v>28</v>
      </c>
      <c r="J20" s="81" t="s">
        <v>122</v>
      </c>
      <c r="K20" s="228"/>
      <c r="L20" s="227">
        <f>+K20*3</f>
        <v>0</v>
      </c>
      <c r="M20" s="164"/>
      <c r="N20" s="163">
        <f>+M20*3</f>
        <v>0</v>
      </c>
      <c r="O20" s="74">
        <v>30</v>
      </c>
      <c r="P20" s="75">
        <f t="shared" si="0"/>
        <v>150</v>
      </c>
      <c r="Q20" s="217"/>
      <c r="R20" s="9">
        <f t="shared" si="1"/>
        <v>150</v>
      </c>
      <c r="S20" s="107"/>
      <c r="T20" s="5"/>
      <c r="U20" s="258">
        <v>900</v>
      </c>
      <c r="V20" s="259">
        <f>+U20*0.13</f>
        <v>117</v>
      </c>
      <c r="W20" s="327">
        <f>+V20+U20</f>
        <v>1017</v>
      </c>
      <c r="X20" s="100"/>
      <c r="Y20" s="266"/>
      <c r="Z20" s="282">
        <f t="shared" si="2"/>
        <v>43676</v>
      </c>
      <c r="AA20" s="318">
        <v>1</v>
      </c>
      <c r="AB20" s="281">
        <v>2</v>
      </c>
      <c r="AC20" s="33" t="s">
        <v>152</v>
      </c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277">
        <v>17</v>
      </c>
      <c r="N21" s="278">
        <f>5*M21</f>
        <v>85</v>
      </c>
      <c r="O21" s="277"/>
      <c r="P21" s="278">
        <f t="shared" si="0"/>
        <v>0</v>
      </c>
      <c r="Q21" s="279"/>
      <c r="R21" s="278">
        <f t="shared" si="1"/>
        <v>85</v>
      </c>
      <c r="S21" s="280"/>
      <c r="T21" s="5"/>
      <c r="U21" s="326">
        <f>+V21+W21</f>
        <v>802.83185840707961</v>
      </c>
      <c r="V21" s="256">
        <f>+V20*W21/W20</f>
        <v>82.83185840707965</v>
      </c>
      <c r="W21" s="261">
        <v>720</v>
      </c>
      <c r="X21" s="36" t="s">
        <v>350</v>
      </c>
      <c r="Z21" s="282">
        <f t="shared" si="2"/>
        <v>43677</v>
      </c>
      <c r="AA21" s="318"/>
      <c r="AB21" s="281"/>
      <c r="AC21" s="33" t="s">
        <v>153</v>
      </c>
    </row>
    <row r="22" spans="1:29">
      <c r="A22" s="215"/>
      <c r="H22" s="142"/>
      <c r="I22" s="25" t="s">
        <v>4</v>
      </c>
      <c r="J22" s="81" t="s">
        <v>111</v>
      </c>
      <c r="K22" s="228"/>
      <c r="L22" s="227">
        <v>0</v>
      </c>
      <c r="M22" s="164"/>
      <c r="N22" s="163">
        <f>+M22*3</f>
        <v>0</v>
      </c>
      <c r="O22" s="28">
        <v>37</v>
      </c>
      <c r="P22" s="75">
        <f t="shared" si="0"/>
        <v>150</v>
      </c>
      <c r="Q22" s="218"/>
      <c r="R22" s="11">
        <f t="shared" si="1"/>
        <v>150</v>
      </c>
      <c r="S22" s="107"/>
      <c r="T22" s="5"/>
      <c r="U22" s="32">
        <f>+U20-U21</f>
        <v>97.168141592920392</v>
      </c>
      <c r="V22" s="47"/>
      <c r="W22" s="33"/>
      <c r="X22" s="262" t="s">
        <v>59</v>
      </c>
      <c r="Z22" s="282">
        <f t="shared" si="2"/>
        <v>43678</v>
      </c>
      <c r="AA22" s="318"/>
      <c r="AB22" s="281"/>
      <c r="AC22" s="33" t="s">
        <v>154</v>
      </c>
    </row>
    <row r="23" spans="1:29">
      <c r="A23" s="215"/>
      <c r="H23" s="142"/>
      <c r="I23" s="25" t="s">
        <v>9</v>
      </c>
      <c r="J23" s="81" t="s">
        <v>128</v>
      </c>
      <c r="K23" s="228"/>
      <c r="L23" s="227">
        <v>0</v>
      </c>
      <c r="M23" s="164"/>
      <c r="N23" s="163">
        <f>+M23*3</f>
        <v>0</v>
      </c>
      <c r="O23" s="28">
        <v>29</v>
      </c>
      <c r="P23" s="75">
        <f t="shared" si="0"/>
        <v>150</v>
      </c>
      <c r="Q23" s="218"/>
      <c r="R23" s="11">
        <f t="shared" si="1"/>
        <v>150</v>
      </c>
      <c r="S23" s="107"/>
      <c r="T23" s="5"/>
      <c r="U23" s="34">
        <v>150</v>
      </c>
      <c r="V23" s="38">
        <f>+U23-U22</f>
        <v>52.831858407079608</v>
      </c>
      <c r="W23" s="39" t="s">
        <v>63</v>
      </c>
      <c r="X23" s="263">
        <f>150-V23</f>
        <v>97.168141592920392</v>
      </c>
      <c r="Z23" s="282">
        <f t="shared" si="2"/>
        <v>43679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164"/>
      <c r="N24" s="163">
        <v>0</v>
      </c>
      <c r="O24" s="28">
        <v>28</v>
      </c>
      <c r="P24" s="11">
        <f t="shared" si="0"/>
        <v>150</v>
      </c>
      <c r="Q24" s="218"/>
      <c r="R24" s="11">
        <f t="shared" si="1"/>
        <v>150</v>
      </c>
      <c r="S24" s="241"/>
      <c r="T24" s="5"/>
      <c r="U24" s="10"/>
      <c r="X24" s="37"/>
      <c r="Z24" s="282">
        <f t="shared" si="2"/>
        <v>43680</v>
      </c>
      <c r="AA24" s="318"/>
      <c r="AB24" s="281"/>
      <c r="AC24" s="61"/>
    </row>
    <row r="25" spans="1:29">
      <c r="H25" s="251" t="s">
        <v>50</v>
      </c>
      <c r="I25" s="275" t="s">
        <v>328</v>
      </c>
      <c r="J25" s="276" t="s">
        <v>329</v>
      </c>
      <c r="K25" s="277"/>
      <c r="L25" s="278">
        <v>0</v>
      </c>
      <c r="M25" s="277"/>
      <c r="N25" s="278">
        <v>0</v>
      </c>
      <c r="O25" s="277">
        <v>33</v>
      </c>
      <c r="P25" s="278">
        <f t="shared" si="0"/>
        <v>150</v>
      </c>
      <c r="Q25" s="279"/>
      <c r="R25" s="278">
        <f t="shared" si="1"/>
        <v>150</v>
      </c>
      <c r="S25" s="280"/>
      <c r="T25" s="5"/>
      <c r="Z25" s="282">
        <f t="shared" si="2"/>
        <v>43681</v>
      </c>
      <c r="AA25" s="318"/>
      <c r="AB25" s="281"/>
      <c r="AC25" s="61"/>
    </row>
    <row r="26" spans="1:29">
      <c r="A26" s="237"/>
      <c r="B26" s="237"/>
      <c r="C26" s="237"/>
      <c r="D26" s="238"/>
      <c r="E26" s="237"/>
      <c r="F26" s="239"/>
      <c r="G26" s="237"/>
      <c r="H26" s="142"/>
      <c r="I26" s="25" t="s">
        <v>51</v>
      </c>
      <c r="J26" s="96" t="s">
        <v>134</v>
      </c>
      <c r="K26" s="29"/>
      <c r="L26" s="27">
        <f>+K26*3</f>
        <v>0</v>
      </c>
      <c r="M26" s="164"/>
      <c r="N26" s="163">
        <f>+M26*3</f>
        <v>0</v>
      </c>
      <c r="O26" s="28">
        <v>30</v>
      </c>
      <c r="P26" s="11">
        <f t="shared" si="0"/>
        <v>150</v>
      </c>
      <c r="Q26" s="218"/>
      <c r="R26" s="240">
        <f t="shared" si="1"/>
        <v>150</v>
      </c>
      <c r="S26" s="241"/>
      <c r="T26" s="5"/>
      <c r="U26" s="332" t="s">
        <v>382</v>
      </c>
      <c r="Z26" s="282">
        <f t="shared" si="2"/>
        <v>43682</v>
      </c>
      <c r="AA26" s="318"/>
      <c r="AB26" s="281"/>
      <c r="AC26" s="65"/>
    </row>
    <row r="27" spans="1:29">
      <c r="A27" s="215"/>
      <c r="H27" s="83"/>
      <c r="I27" s="126" t="s">
        <v>61</v>
      </c>
      <c r="J27" s="80" t="s">
        <v>137</v>
      </c>
      <c r="K27" s="226"/>
      <c r="L27" s="227">
        <f>3*K27</f>
        <v>0</v>
      </c>
      <c r="M27" s="162">
        <v>20</v>
      </c>
      <c r="N27" s="163">
        <f>5*M27</f>
        <v>100</v>
      </c>
      <c r="O27" s="72"/>
      <c r="P27" s="75">
        <f t="shared" si="0"/>
        <v>0</v>
      </c>
      <c r="Q27" s="217"/>
      <c r="R27" s="11">
        <f t="shared" si="1"/>
        <v>100</v>
      </c>
      <c r="S27" s="106"/>
      <c r="T27" s="5"/>
      <c r="Z27" s="282">
        <f t="shared" si="2"/>
        <v>43683</v>
      </c>
      <c r="AA27" s="319"/>
      <c r="AB27" s="281"/>
      <c r="AC27" s="66"/>
    </row>
    <row r="28" spans="1:29">
      <c r="A28" s="215"/>
      <c r="H28" s="242" t="s">
        <v>250</v>
      </c>
      <c r="I28" s="188" t="s">
        <v>14</v>
      </c>
      <c r="J28" s="189" t="s">
        <v>125</v>
      </c>
      <c r="K28" s="192"/>
      <c r="L28" s="193">
        <f>+K28*3</f>
        <v>0</v>
      </c>
      <c r="M28" s="192"/>
      <c r="N28" s="193">
        <f>3*M28</f>
        <v>0</v>
      </c>
      <c r="O28" s="192">
        <v>30</v>
      </c>
      <c r="P28" s="193">
        <f t="shared" si="0"/>
        <v>150</v>
      </c>
      <c r="Q28" s="221"/>
      <c r="R28" s="329">
        <f t="shared" si="1"/>
        <v>150</v>
      </c>
      <c r="S28" s="107"/>
      <c r="T28" s="5"/>
      <c r="U28" s="287" t="s">
        <v>347</v>
      </c>
      <c r="Z28" s="314" t="s">
        <v>150</v>
      </c>
      <c r="AA28" s="315">
        <f>SUM(AA17:AA27)</f>
        <v>4</v>
      </c>
      <c r="AB28" s="316" t="s">
        <v>148</v>
      </c>
      <c r="AC28" s="68"/>
    </row>
    <row r="29" spans="1:29">
      <c r="A29" s="215"/>
      <c r="H29" s="83"/>
      <c r="I29" s="126" t="s">
        <v>79</v>
      </c>
      <c r="J29" s="82" t="s">
        <v>110</v>
      </c>
      <c r="K29" s="228"/>
      <c r="L29" s="227">
        <v>0</v>
      </c>
      <c r="M29" s="164"/>
      <c r="N29" s="163">
        <v>0</v>
      </c>
      <c r="O29" s="76">
        <v>31</v>
      </c>
      <c r="P29" s="75">
        <f t="shared" si="0"/>
        <v>150</v>
      </c>
      <c r="Q29" s="217"/>
      <c r="R29" s="11">
        <f t="shared" si="1"/>
        <v>150</v>
      </c>
      <c r="S29" s="106"/>
      <c r="T29" s="5"/>
      <c r="Z29" s="184"/>
      <c r="AA29" s="171">
        <f>SUM(AB17:AB27)</f>
        <v>15</v>
      </c>
      <c r="AB29" s="185" t="s">
        <v>149</v>
      </c>
      <c r="AC29" s="69"/>
    </row>
    <row r="30" spans="1:29" ht="16.5">
      <c r="H30" s="83"/>
      <c r="I30" s="269" t="s">
        <v>214</v>
      </c>
      <c r="J30" s="270" t="s">
        <v>215</v>
      </c>
      <c r="K30" s="271"/>
      <c r="L30" s="272">
        <v>0</v>
      </c>
      <c r="M30" s="271"/>
      <c r="N30" s="272">
        <f>3*M30</f>
        <v>0</v>
      </c>
      <c r="O30" s="271">
        <v>31</v>
      </c>
      <c r="P30" s="272">
        <f t="shared" si="0"/>
        <v>150</v>
      </c>
      <c r="Q30" s="273"/>
      <c r="R30" s="272">
        <f t="shared" si="1"/>
        <v>150</v>
      </c>
      <c r="S30" s="274"/>
      <c r="T30" s="5"/>
      <c r="Z30" s="186" t="s">
        <v>160</v>
      </c>
      <c r="AA30" s="284">
        <f>+AA29/AA28</f>
        <v>3.75</v>
      </c>
      <c r="AB30" s="173" t="s">
        <v>150</v>
      </c>
      <c r="AC30" s="65"/>
    </row>
    <row r="31" spans="1:29">
      <c r="A31" s="237"/>
      <c r="B31" s="237"/>
      <c r="C31" s="237"/>
      <c r="D31" s="238"/>
      <c r="E31" s="237"/>
      <c r="F31" s="239"/>
      <c r="G31" s="237"/>
      <c r="H31" s="142"/>
      <c r="I31" s="25" t="s">
        <v>45</v>
      </c>
      <c r="J31" s="96" t="s">
        <v>133</v>
      </c>
      <c r="K31" s="29"/>
      <c r="L31" s="27">
        <f>+K31*3</f>
        <v>0</v>
      </c>
      <c r="M31" s="164"/>
      <c r="N31" s="163">
        <f>+M31*3</f>
        <v>0</v>
      </c>
      <c r="O31" s="28">
        <v>36</v>
      </c>
      <c r="P31" s="11">
        <f t="shared" si="0"/>
        <v>150</v>
      </c>
      <c r="Q31" s="218"/>
      <c r="R31" s="240">
        <f t="shared" si="1"/>
        <v>150</v>
      </c>
      <c r="S31" s="241"/>
      <c r="T31" s="5"/>
    </row>
    <row r="32" spans="1:29">
      <c r="A32" s="215"/>
      <c r="H32" s="142"/>
      <c r="I32" s="25" t="s">
        <v>13</v>
      </c>
      <c r="J32" s="81" t="s">
        <v>319</v>
      </c>
      <c r="K32" s="228"/>
      <c r="L32" s="227">
        <f>3*K32</f>
        <v>0</v>
      </c>
      <c r="M32" s="164">
        <v>18</v>
      </c>
      <c r="N32" s="163">
        <f>5*M32</f>
        <v>90</v>
      </c>
      <c r="O32" s="28"/>
      <c r="P32" s="75">
        <f t="shared" si="0"/>
        <v>0</v>
      </c>
      <c r="Q32" s="218"/>
      <c r="R32" s="57">
        <f t="shared" si="1"/>
        <v>90</v>
      </c>
      <c r="S32" s="107"/>
      <c r="T32" s="5"/>
    </row>
    <row r="33" spans="1:32">
      <c r="A33" s="215"/>
      <c r="H33" s="95"/>
      <c r="I33" s="25" t="s">
        <v>31</v>
      </c>
      <c r="J33" s="81" t="s">
        <v>127</v>
      </c>
      <c r="K33" s="228"/>
      <c r="L33" s="227">
        <v>0</v>
      </c>
      <c r="M33" s="164">
        <v>13</v>
      </c>
      <c r="N33" s="163">
        <f>3*M33</f>
        <v>39</v>
      </c>
      <c r="O33" s="28"/>
      <c r="P33" s="75">
        <f t="shared" si="0"/>
        <v>0</v>
      </c>
      <c r="Q33" s="218"/>
      <c r="R33" s="11">
        <f t="shared" si="1"/>
        <v>39</v>
      </c>
      <c r="S33" s="107"/>
      <c r="T33" s="5"/>
    </row>
    <row r="34" spans="1:32" s="4" customFormat="1">
      <c r="A34" s="215"/>
      <c r="B34"/>
      <c r="C34"/>
      <c r="D34" s="1"/>
      <c r="E34"/>
      <c r="F34" s="2"/>
      <c r="G34"/>
      <c r="H34" s="95"/>
      <c r="I34" s="25" t="s">
        <v>30</v>
      </c>
      <c r="J34" s="81" t="s">
        <v>126</v>
      </c>
      <c r="K34" s="228"/>
      <c r="L34" s="227">
        <f>+K34*3</f>
        <v>0</v>
      </c>
      <c r="M34" s="164">
        <v>14</v>
      </c>
      <c r="N34" s="163">
        <f>+M34*3</f>
        <v>42</v>
      </c>
      <c r="O34" s="28"/>
      <c r="P34" s="75">
        <f t="shared" si="0"/>
        <v>0</v>
      </c>
      <c r="Q34" s="218"/>
      <c r="R34" s="320">
        <f t="shared" si="1"/>
        <v>42</v>
      </c>
      <c r="S34" s="107"/>
      <c r="T34" s="5"/>
      <c r="U34"/>
      <c r="V34" s="46"/>
      <c r="W34"/>
      <c r="X34"/>
      <c r="Y34"/>
      <c r="Z34"/>
      <c r="AA34"/>
      <c r="AB34"/>
      <c r="AC34"/>
      <c r="AD34"/>
      <c r="AE34"/>
      <c r="AF34"/>
    </row>
    <row r="35" spans="1:32">
      <c r="A35" s="215"/>
      <c r="H35" s="83"/>
      <c r="I35" s="269" t="s">
        <v>186</v>
      </c>
      <c r="J35" s="270" t="s">
        <v>187</v>
      </c>
      <c r="K35" s="271"/>
      <c r="L35" s="272">
        <v>0</v>
      </c>
      <c r="M35" s="271">
        <v>17</v>
      </c>
      <c r="N35" s="272">
        <f>5*M35</f>
        <v>85</v>
      </c>
      <c r="O35" s="271"/>
      <c r="P35" s="272">
        <f t="shared" si="0"/>
        <v>0</v>
      </c>
      <c r="Q35" s="273"/>
      <c r="R35" s="272">
        <f t="shared" si="1"/>
        <v>85</v>
      </c>
      <c r="S35" s="274"/>
      <c r="T35" s="5"/>
    </row>
    <row r="36" spans="1:32">
      <c r="A36" s="215"/>
      <c r="H36" s="83"/>
      <c r="I36" s="25" t="s">
        <v>17</v>
      </c>
      <c r="J36" s="81" t="s">
        <v>123</v>
      </c>
      <c r="K36" s="228"/>
      <c r="L36" s="227">
        <f>+K36*3</f>
        <v>0</v>
      </c>
      <c r="M36" s="164"/>
      <c r="N36" s="163">
        <v>0</v>
      </c>
      <c r="O36" s="74">
        <v>2</v>
      </c>
      <c r="P36" s="75">
        <f t="shared" si="0"/>
        <v>12</v>
      </c>
      <c r="Q36" s="218"/>
      <c r="R36" s="11">
        <f t="shared" si="1"/>
        <v>12</v>
      </c>
      <c r="S36" s="107"/>
      <c r="T36" s="5"/>
    </row>
    <row r="37" spans="1:32">
      <c r="A37" s="215"/>
      <c r="H37" s="83"/>
      <c r="I37" s="25" t="s">
        <v>60</v>
      </c>
      <c r="J37" s="81" t="s">
        <v>132</v>
      </c>
      <c r="K37" s="228"/>
      <c r="L37" s="227">
        <v>0</v>
      </c>
      <c r="M37" s="164"/>
      <c r="N37" s="163">
        <v>0</v>
      </c>
      <c r="O37" s="74"/>
      <c r="P37" s="75">
        <f>IF(O37&gt;25,150,(O37)*6)</f>
        <v>0</v>
      </c>
      <c r="Q37" s="218"/>
      <c r="R37" s="11">
        <f>+L37+N37+P37+Q37</f>
        <v>0</v>
      </c>
      <c r="S37" s="107"/>
      <c r="T37" s="5"/>
    </row>
    <row r="38" spans="1:32">
      <c r="H38" s="142"/>
      <c r="I38" s="25" t="s">
        <v>233</v>
      </c>
      <c r="J38" s="81" t="s">
        <v>234</v>
      </c>
      <c r="K38" s="228"/>
      <c r="L38" s="227">
        <v>0</v>
      </c>
      <c r="M38" s="164">
        <v>16</v>
      </c>
      <c r="N38" s="163">
        <f>+M38*5</f>
        <v>80</v>
      </c>
      <c r="O38" s="28"/>
      <c r="P38" s="75">
        <f t="shared" si="0"/>
        <v>0</v>
      </c>
      <c r="Q38" s="218">
        <v>10</v>
      </c>
      <c r="R38" s="57">
        <f t="shared" si="1"/>
        <v>90</v>
      </c>
      <c r="S38" s="107"/>
      <c r="T38" s="5"/>
      <c r="AF38" s="4"/>
    </row>
    <row r="39" spans="1:32">
      <c r="A39" s="215"/>
      <c r="H39" s="242" t="s">
        <v>250</v>
      </c>
      <c r="I39" s="188" t="s">
        <v>8</v>
      </c>
      <c r="J39" s="189" t="s">
        <v>120</v>
      </c>
      <c r="K39" s="192"/>
      <c r="L39" s="193">
        <v>0</v>
      </c>
      <c r="M39" s="192"/>
      <c r="N39" s="193">
        <v>0</v>
      </c>
      <c r="O39" s="192">
        <v>36</v>
      </c>
      <c r="P39" s="193">
        <f t="shared" si="0"/>
        <v>150</v>
      </c>
      <c r="Q39" s="221"/>
      <c r="R39" s="329">
        <f t="shared" si="1"/>
        <v>150</v>
      </c>
      <c r="S39" s="107"/>
      <c r="T39" s="5"/>
    </row>
    <row r="40" spans="1:32">
      <c r="A40" s="215"/>
      <c r="H40" s="83"/>
      <c r="I40" s="25" t="s">
        <v>11</v>
      </c>
      <c r="J40" s="96" t="s">
        <v>130</v>
      </c>
      <c r="K40" s="228"/>
      <c r="L40" s="227">
        <f>+K40*3</f>
        <v>0</v>
      </c>
      <c r="M40" s="164"/>
      <c r="N40" s="163">
        <f>+M40*3</f>
        <v>0</v>
      </c>
      <c r="O40" s="74"/>
      <c r="P40" s="75">
        <f t="shared" si="0"/>
        <v>0</v>
      </c>
      <c r="Q40" s="220"/>
      <c r="R40" s="11">
        <f t="shared" si="1"/>
        <v>0</v>
      </c>
      <c r="S40" s="107"/>
      <c r="T40" s="5"/>
    </row>
    <row r="41" spans="1:32">
      <c r="H41" s="83"/>
      <c r="I41" s="25" t="s">
        <v>44</v>
      </c>
      <c r="J41" s="96" t="s">
        <v>124</v>
      </c>
      <c r="K41" s="228"/>
      <c r="L41" s="227">
        <f>+K41*3</f>
        <v>0</v>
      </c>
      <c r="M41" s="164"/>
      <c r="N41" s="163">
        <f>+M41*3</f>
        <v>0</v>
      </c>
      <c r="O41" s="113"/>
      <c r="P41" s="75">
        <f t="shared" si="0"/>
        <v>0</v>
      </c>
      <c r="Q41" s="218"/>
      <c r="R41" s="11">
        <f t="shared" si="1"/>
        <v>0</v>
      </c>
      <c r="S41" s="107"/>
      <c r="T41" s="5"/>
    </row>
    <row r="42" spans="1:32">
      <c r="H42" s="83"/>
      <c r="I42" s="25" t="s">
        <v>6</v>
      </c>
      <c r="J42" s="96" t="s">
        <v>116</v>
      </c>
      <c r="K42" s="228"/>
      <c r="L42" s="227">
        <f>+K42*3</f>
        <v>0</v>
      </c>
      <c r="M42" s="164"/>
      <c r="N42" s="163">
        <f>+M42*3</f>
        <v>0</v>
      </c>
      <c r="O42" s="74"/>
      <c r="P42" s="75">
        <f t="shared" si="0"/>
        <v>0</v>
      </c>
      <c r="Q42" s="220"/>
      <c r="R42" s="11">
        <f t="shared" si="1"/>
        <v>0</v>
      </c>
      <c r="S42" s="107"/>
      <c r="T42" s="5"/>
    </row>
    <row r="43" spans="1:32">
      <c r="H43" s="95"/>
      <c r="I43" s="25" t="s">
        <v>53</v>
      </c>
      <c r="J43" s="81" t="s">
        <v>135</v>
      </c>
      <c r="K43" s="228"/>
      <c r="L43" s="227">
        <v>0</v>
      </c>
      <c r="M43" s="164"/>
      <c r="N43" s="163">
        <v>0</v>
      </c>
      <c r="O43" s="28">
        <v>30</v>
      </c>
      <c r="P43" s="75">
        <f t="shared" si="0"/>
        <v>150</v>
      </c>
      <c r="Q43" s="218"/>
      <c r="R43" s="11">
        <f t="shared" si="1"/>
        <v>150</v>
      </c>
      <c r="S43" s="107"/>
      <c r="T43" s="5"/>
    </row>
    <row r="44" spans="1:32">
      <c r="H44" s="81"/>
      <c r="I44" s="120" t="s">
        <v>12</v>
      </c>
      <c r="J44" s="150" t="s">
        <v>114</v>
      </c>
      <c r="K44" s="232"/>
      <c r="L44" s="233">
        <v>0</v>
      </c>
      <c r="M44" s="165"/>
      <c r="N44" s="166">
        <f>3*M44</f>
        <v>0</v>
      </c>
      <c r="O44" s="122">
        <v>32</v>
      </c>
      <c r="P44" s="147">
        <f t="shared" si="0"/>
        <v>150</v>
      </c>
      <c r="Q44" s="222"/>
      <c r="R44" s="124">
        <f t="shared" si="1"/>
        <v>150</v>
      </c>
      <c r="S44" s="148"/>
      <c r="T44" s="5"/>
    </row>
    <row r="45" spans="1:32">
      <c r="I45" s="13"/>
      <c r="J45" s="14"/>
      <c r="K45" s="234">
        <f t="shared" ref="K45:S45" si="3">SUM(K5:K44)</f>
        <v>0</v>
      </c>
      <c r="L45" s="235">
        <f t="shared" si="3"/>
        <v>0</v>
      </c>
      <c r="M45" s="167">
        <f t="shared" si="3"/>
        <v>134</v>
      </c>
      <c r="N45" s="168">
        <f t="shared" si="3"/>
        <v>542</v>
      </c>
      <c r="O45" s="77">
        <f t="shared" si="3"/>
        <v>632</v>
      </c>
      <c r="P45" s="78">
        <f t="shared" si="3"/>
        <v>2976</v>
      </c>
      <c r="Q45" s="323">
        <f t="shared" si="3"/>
        <v>10</v>
      </c>
      <c r="R45" s="78">
        <f t="shared" si="3"/>
        <v>3528</v>
      </c>
      <c r="S45" s="102">
        <f t="shared" si="3"/>
        <v>0</v>
      </c>
      <c r="T45" s="5"/>
    </row>
    <row r="46" spans="1:32">
      <c r="J46" s="200">
        <f ca="1">TODAY()</f>
        <v>43825</v>
      </c>
      <c r="K46" s="41"/>
      <c r="M46" s="42"/>
      <c r="N46" s="41"/>
      <c r="O46" s="45" t="s">
        <v>81</v>
      </c>
      <c r="Q46" s="42"/>
      <c r="R46" s="45">
        <f>+R8+R12+R16+R21+R25+R28+R39</f>
        <v>556</v>
      </c>
      <c r="T46" s="5"/>
      <c r="AC46">
        <v>4</v>
      </c>
    </row>
    <row r="47" spans="1:32" ht="15" customHeight="1">
      <c r="L47" s="43"/>
      <c r="M47" s="44"/>
      <c r="N47" s="125"/>
      <c r="O47" s="43" t="s">
        <v>91</v>
      </c>
      <c r="P47" s="114"/>
      <c r="Q47" s="110" t="s">
        <v>58</v>
      </c>
      <c r="R47" s="111">
        <f>+R45-R46</f>
        <v>2972</v>
      </c>
      <c r="S47" s="10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30" t="s">
        <v>338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31" t="s">
        <v>339</v>
      </c>
      <c r="P50" s="19"/>
      <c r="T50" s="5"/>
    </row>
    <row r="51" spans="9:29">
      <c r="I51" s="330" t="s">
        <v>390</v>
      </c>
      <c r="P51" s="19"/>
      <c r="T51" s="5"/>
    </row>
    <row r="52" spans="9:29">
      <c r="I52" s="330" t="s">
        <v>391</v>
      </c>
      <c r="P52" s="19"/>
      <c r="T52" s="5"/>
      <c r="V52" s="59"/>
      <c r="W52" s="60"/>
      <c r="X52" s="61"/>
    </row>
    <row r="53" spans="9:29">
      <c r="I53" s="330" t="s">
        <v>392</v>
      </c>
      <c r="P53" s="19"/>
      <c r="U53" s="58"/>
      <c r="V53" s="59"/>
      <c r="W53" s="60"/>
      <c r="X53" s="61"/>
    </row>
    <row r="54" spans="9:29">
      <c r="I54" s="330" t="s">
        <v>393</v>
      </c>
      <c r="U54" s="58"/>
      <c r="V54" s="59"/>
      <c r="W54" s="62"/>
      <c r="X54" s="65"/>
    </row>
    <row r="55" spans="9:29">
      <c r="I55" s="330" t="s">
        <v>394</v>
      </c>
      <c r="U55" s="58"/>
      <c r="V55" s="59"/>
      <c r="W55" s="67"/>
      <c r="X55" s="60"/>
    </row>
    <row r="56" spans="9:29">
      <c r="I56" s="330" t="s">
        <v>395</v>
      </c>
      <c r="U56" s="58"/>
      <c r="V56" s="59"/>
      <c r="W56" s="60"/>
      <c r="X56" s="60"/>
    </row>
    <row r="57" spans="9:29">
      <c r="I57" s="330" t="s">
        <v>343</v>
      </c>
      <c r="U57" s="58"/>
      <c r="V57" s="59"/>
      <c r="W57" s="60"/>
      <c r="X57" s="68"/>
    </row>
    <row r="58" spans="9:29">
      <c r="U58" s="58"/>
      <c r="V58" s="59"/>
      <c r="W58" s="60"/>
      <c r="X58" s="69"/>
    </row>
    <row r="59" spans="9:29">
      <c r="U59" s="58"/>
      <c r="V59" s="59"/>
      <c r="W59" s="60"/>
      <c r="X59" s="60"/>
    </row>
    <row r="60" spans="9:29">
      <c r="U60" s="58"/>
      <c r="V60" s="59"/>
      <c r="W60" s="60"/>
      <c r="X60" s="60"/>
    </row>
    <row r="61" spans="9:29">
      <c r="U61" s="58"/>
      <c r="V61" s="59"/>
      <c r="W61" s="62"/>
      <c r="X61" s="60"/>
    </row>
    <row r="62" spans="9:29">
      <c r="U62" s="58"/>
      <c r="V62" s="59"/>
      <c r="W62" s="62"/>
      <c r="X62" s="60"/>
    </row>
    <row r="63" spans="9:29">
      <c r="U63" s="64"/>
      <c r="V63" s="59"/>
      <c r="W63" s="60"/>
      <c r="X63" s="60"/>
    </row>
    <row r="64" spans="9:29">
      <c r="U64" s="58"/>
      <c r="V64" s="66"/>
      <c r="W64" s="67"/>
      <c r="X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  <row r="68" spans="21:23">
      <c r="U68" s="60"/>
      <c r="V68" s="59"/>
      <c r="W68" s="60"/>
    </row>
    <row r="69" spans="21:23">
      <c r="U69" s="60"/>
      <c r="V69" s="59"/>
      <c r="W69" s="60"/>
    </row>
    <row r="70" spans="21:23">
      <c r="U70" s="60"/>
      <c r="V70" s="59"/>
      <c r="W70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82" priority="2" operator="lessThanOrEqual">
      <formula>0</formula>
    </cfRule>
  </conditionalFormatting>
  <conditionalFormatting sqref="R5:R44">
    <cfRule type="cellIs" dxfId="81" priority="1" operator="greaterThan">
      <formula>0</formula>
    </cfRule>
  </conditionalFormatting>
  <printOptions horizontalCentered="1"/>
  <pageMargins left="0" right="0" top="0.47244094488188981" bottom="0" header="0" footer="0"/>
  <pageSetup paperSize="9" scale="98" orientation="portrait" r:id="rId1"/>
  <ignoredErrors>
    <ignoredError sqref="L19:N20 L22:N26 L21 L27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70"/>
  <sheetViews>
    <sheetView zoomScale="85" zoomScaleNormal="85" workbookViewId="0">
      <pane xSplit="10" ySplit="4" topLeftCell="K45" activePane="bottomRight" state="frozen"/>
      <selection pane="topRight" activeCell="K1" sqref="K1"/>
      <selection pane="bottomLeft" activeCell="A5" sqref="A5"/>
      <selection pane="bottomRight" activeCell="Q45" sqref="Q4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.7109375" customWidth="1"/>
    <col min="9" max="9" width="7.42578125" customWidth="1"/>
    <col min="10" max="10" width="25.7109375" customWidth="1"/>
    <col min="11" max="11" width="1.7109375" customWidth="1"/>
    <col min="12" max="12" width="1.5703125" customWidth="1"/>
    <col min="13" max="14" width="6.7109375" customWidth="1"/>
    <col min="15" max="15" width="6.85546875" customWidth="1"/>
    <col min="16" max="16" width="12.140625" customWidth="1"/>
    <col min="17" max="17" width="7.7109375" customWidth="1"/>
    <col min="18" max="18" width="15.7109375" customWidth="1"/>
    <col min="19" max="19" width="3.7109375" style="103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>
      <c r="H2" s="83"/>
      <c r="I2" s="429" t="s">
        <v>375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285" t="s">
        <v>298</v>
      </c>
      <c r="O4" s="87" t="s">
        <v>15</v>
      </c>
      <c r="P4" s="87" t="s">
        <v>385</v>
      </c>
      <c r="Q4" s="99" t="s">
        <v>386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v>0</v>
      </c>
      <c r="O5" s="76">
        <v>33</v>
      </c>
      <c r="P5" s="75">
        <f t="shared" ref="P5:P44" si="0">IF(O5&gt;25,150,(O5)*6)</f>
        <v>150</v>
      </c>
      <c r="Q5" s="217"/>
      <c r="R5" s="11">
        <f t="shared" ref="R5:R44" si="1">+L5+N5+P5+Q5</f>
        <v>150</v>
      </c>
      <c r="S5" s="106"/>
      <c r="T5" s="5"/>
      <c r="U5" s="258">
        <v>815.2</v>
      </c>
      <c r="V5" s="259">
        <v>94</v>
      </c>
      <c r="W5" s="260">
        <v>721.2</v>
      </c>
      <c r="X5" s="333" t="s">
        <v>215</v>
      </c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26">
        <f>+V6+W6</f>
        <v>813.84359400998335</v>
      </c>
      <c r="V6" s="256">
        <f>+V5*W6/W5</f>
        <v>93.843594009983349</v>
      </c>
      <c r="W6" s="261">
        <v>720</v>
      </c>
      <c r="X6" s="334" t="s">
        <v>381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164"/>
      <c r="N7" s="163">
        <v>0</v>
      </c>
      <c r="O7" s="74">
        <v>35</v>
      </c>
      <c r="P7" s="75">
        <f t="shared" si="0"/>
        <v>150</v>
      </c>
      <c r="Q7" s="218"/>
      <c r="R7" s="9">
        <f t="shared" si="1"/>
        <v>150</v>
      </c>
      <c r="S7" s="106"/>
      <c r="T7" s="5"/>
      <c r="U7" s="32">
        <f>+U5-U6+0.01</f>
        <v>1.3664059900166967</v>
      </c>
      <c r="V7" s="47"/>
      <c r="W7" s="33"/>
      <c r="X7" s="262" t="s">
        <v>59</v>
      </c>
    </row>
    <row r="8" spans="8:29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>
        <v>42</v>
      </c>
      <c r="P8" s="75">
        <f t="shared" si="0"/>
        <v>150</v>
      </c>
      <c r="Q8" s="218"/>
      <c r="R8" s="9">
        <f t="shared" si="1"/>
        <v>150</v>
      </c>
      <c r="S8" s="138"/>
      <c r="T8" s="5"/>
      <c r="U8" s="34">
        <v>150</v>
      </c>
      <c r="V8" s="335">
        <f>+U8-U7</f>
        <v>148.63359400998331</v>
      </c>
      <c r="W8" s="39" t="s">
        <v>63</v>
      </c>
      <c r="X8" s="263">
        <f>150-V8</f>
        <v>1.3664059900166876</v>
      </c>
    </row>
    <row r="9" spans="8:29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/>
      <c r="P9" s="75">
        <f t="shared" si="0"/>
        <v>0</v>
      </c>
      <c r="Q9" s="218"/>
      <c r="R9" s="11">
        <f t="shared" si="1"/>
        <v>0</v>
      </c>
      <c r="S9" s="107"/>
      <c r="T9" s="5"/>
      <c r="U9" s="10"/>
      <c r="X9" s="37"/>
    </row>
    <row r="10" spans="8:29" ht="15" customHeight="1">
      <c r="H10" s="95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28"/>
      <c r="P10" s="75">
        <f t="shared" si="0"/>
        <v>0</v>
      </c>
      <c r="Q10" s="218"/>
      <c r="R10" s="11">
        <f t="shared" si="1"/>
        <v>0</v>
      </c>
      <c r="S10" s="197"/>
      <c r="T10" s="5"/>
      <c r="U10" s="258">
        <v>988</v>
      </c>
      <c r="V10" s="259">
        <v>118.76</v>
      </c>
      <c r="W10" s="260">
        <v>869.24</v>
      </c>
      <c r="X10" s="333" t="s">
        <v>349</v>
      </c>
      <c r="Y10" s="266"/>
    </row>
    <row r="11" spans="8:29">
      <c r="H11" s="242" t="s">
        <v>232</v>
      </c>
      <c r="I11" s="188" t="s">
        <v>56</v>
      </c>
      <c r="J11" s="189" t="s">
        <v>136</v>
      </c>
      <c r="K11" s="192"/>
      <c r="L11" s="193">
        <v>0</v>
      </c>
      <c r="M11" s="192"/>
      <c r="N11" s="193">
        <f>2.7*M11</f>
        <v>0</v>
      </c>
      <c r="O11" s="192">
        <v>1</v>
      </c>
      <c r="P11" s="193">
        <f t="shared" si="0"/>
        <v>6</v>
      </c>
      <c r="Q11" s="221"/>
      <c r="R11" s="329">
        <f t="shared" si="1"/>
        <v>6</v>
      </c>
      <c r="S11" s="107"/>
      <c r="T11" s="5"/>
      <c r="U11" s="326">
        <f>+V11+W11</f>
        <v>935.44245547834896</v>
      </c>
      <c r="V11" s="256">
        <f>+V10*W11/W10</f>
        <v>112.44245547834892</v>
      </c>
      <c r="W11" s="261">
        <v>823</v>
      </c>
      <c r="X11" s="334" t="s">
        <v>348</v>
      </c>
    </row>
    <row r="12" spans="8:29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>
        <v>31</v>
      </c>
      <c r="P12" s="75">
        <f t="shared" si="0"/>
        <v>150</v>
      </c>
      <c r="Q12" s="218"/>
      <c r="R12" s="9">
        <f t="shared" si="1"/>
        <v>150</v>
      </c>
      <c r="S12" s="106"/>
      <c r="T12" s="5"/>
      <c r="U12" s="32">
        <f>+U10-U11</f>
        <v>52.557544521651039</v>
      </c>
      <c r="V12" s="47"/>
      <c r="W12" s="33"/>
      <c r="X12" s="262" t="s">
        <v>59</v>
      </c>
    </row>
    <row r="13" spans="8:29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97.442455478348961</v>
      </c>
      <c r="W13" s="39" t="s">
        <v>63</v>
      </c>
      <c r="X13" s="263">
        <f>150-V13</f>
        <v>52.557544521651039</v>
      </c>
    </row>
    <row r="14" spans="8:29">
      <c r="H14" s="83"/>
      <c r="I14" s="25" t="s">
        <v>20</v>
      </c>
      <c r="J14" s="81" t="s">
        <v>195</v>
      </c>
      <c r="K14" s="228"/>
      <c r="L14" s="227">
        <f>+K14*3</f>
        <v>0</v>
      </c>
      <c r="M14" s="164"/>
      <c r="N14" s="163">
        <f>+M14*3</f>
        <v>0</v>
      </c>
      <c r="O14" s="74">
        <v>31</v>
      </c>
      <c r="P14" s="75">
        <f t="shared" si="0"/>
        <v>150</v>
      </c>
      <c r="Q14" s="217"/>
      <c r="R14" s="9">
        <f t="shared" si="1"/>
        <v>150</v>
      </c>
      <c r="S14" s="107"/>
      <c r="T14" s="5"/>
      <c r="U14" s="10"/>
      <c r="X14" s="37"/>
    </row>
    <row r="15" spans="8:29">
      <c r="H15" s="251" t="s">
        <v>50</v>
      </c>
      <c r="I15" s="275" t="s">
        <v>272</v>
      </c>
      <c r="J15" s="276" t="s">
        <v>271</v>
      </c>
      <c r="K15" s="277"/>
      <c r="L15" s="278">
        <v>0</v>
      </c>
      <c r="M15" s="277"/>
      <c r="N15" s="278">
        <v>0</v>
      </c>
      <c r="O15" s="277"/>
      <c r="P15" s="278">
        <f t="shared" si="0"/>
        <v>0</v>
      </c>
      <c r="Q15" s="279"/>
      <c r="R15" s="278">
        <f t="shared" si="1"/>
        <v>0</v>
      </c>
      <c r="S15" s="280"/>
      <c r="T15" s="5"/>
      <c r="U15" s="258">
        <v>880</v>
      </c>
      <c r="V15" s="259">
        <v>114.4</v>
      </c>
      <c r="W15" s="327">
        <v>765.6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95"/>
      <c r="I16" s="25" t="s">
        <v>25</v>
      </c>
      <c r="J16" s="81" t="s">
        <v>118</v>
      </c>
      <c r="K16" s="228"/>
      <c r="L16" s="227">
        <f>+K16*3</f>
        <v>0</v>
      </c>
      <c r="M16" s="164"/>
      <c r="N16" s="163">
        <f>+M16*3</f>
        <v>0</v>
      </c>
      <c r="O16" s="28"/>
      <c r="P16" s="75">
        <f t="shared" si="0"/>
        <v>0</v>
      </c>
      <c r="Q16" s="218"/>
      <c r="R16" s="11">
        <f t="shared" si="1"/>
        <v>0</v>
      </c>
      <c r="S16" s="107"/>
      <c r="T16" s="5"/>
      <c r="U16" s="326">
        <f>+V16+W16</f>
        <v>945.97701149425291</v>
      </c>
      <c r="V16" s="256">
        <f>+V15*W16/W15</f>
        <v>122.97701149425289</v>
      </c>
      <c r="W16" s="261">
        <v>823</v>
      </c>
      <c r="X16" s="36" t="s">
        <v>350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164"/>
      <c r="N17" s="163">
        <f>+M17*3</f>
        <v>0</v>
      </c>
      <c r="O17" s="28"/>
      <c r="P17" s="75">
        <f t="shared" si="0"/>
        <v>0</v>
      </c>
      <c r="Q17" s="218"/>
      <c r="R17" s="11">
        <f t="shared" si="1"/>
        <v>0</v>
      </c>
      <c r="S17" s="107"/>
      <c r="T17" s="5"/>
      <c r="U17" s="32">
        <f>+U15-U16</f>
        <v>-65.977011494252906</v>
      </c>
      <c r="V17" s="47"/>
      <c r="W17" s="33"/>
      <c r="X17" s="262" t="s">
        <v>59</v>
      </c>
      <c r="Z17" s="282">
        <v>43673</v>
      </c>
      <c r="AA17" s="317">
        <v>1</v>
      </c>
      <c r="AB17" s="281">
        <v>3</v>
      </c>
      <c r="AC17" s="174" t="s">
        <v>157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162"/>
      <c r="N18" s="163">
        <f>5*M18</f>
        <v>0</v>
      </c>
      <c r="O18" s="76">
        <v>30</v>
      </c>
      <c r="P18" s="75">
        <f t="shared" si="0"/>
        <v>150</v>
      </c>
      <c r="Q18" s="217"/>
      <c r="R18" s="11">
        <f t="shared" si="1"/>
        <v>150</v>
      </c>
      <c r="S18" s="106"/>
      <c r="T18" s="5"/>
      <c r="U18" s="34">
        <v>150</v>
      </c>
      <c r="V18" s="38">
        <f>+U18-U17</f>
        <v>215.97701149425291</v>
      </c>
      <c r="W18" s="39" t="s">
        <v>63</v>
      </c>
      <c r="X18" s="263">
        <f>150-V18</f>
        <v>-65.977011494252906</v>
      </c>
      <c r="Z18" s="282">
        <f>1+Z17</f>
        <v>43674</v>
      </c>
      <c r="AA18" s="318">
        <v>1</v>
      </c>
      <c r="AB18" s="281">
        <v>5</v>
      </c>
      <c r="AC18" s="33" t="s">
        <v>156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164"/>
      <c r="N19" s="163">
        <f>+M19*3</f>
        <v>0</v>
      </c>
      <c r="O19" s="74">
        <v>41</v>
      </c>
      <c r="P19" s="75">
        <f t="shared" si="0"/>
        <v>150</v>
      </c>
      <c r="Q19" s="217"/>
      <c r="R19" s="9">
        <f t="shared" si="1"/>
        <v>150</v>
      </c>
      <c r="S19" s="107"/>
      <c r="T19" s="5"/>
      <c r="U19" s="10"/>
      <c r="X19" s="37"/>
      <c r="Z19" s="282">
        <f t="shared" ref="Z19:Z27" si="2">1+Z18</f>
        <v>43675</v>
      </c>
      <c r="AA19" s="318">
        <v>1</v>
      </c>
      <c r="AB19" s="281">
        <v>5</v>
      </c>
      <c r="AC19" s="33" t="s">
        <v>151</v>
      </c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164"/>
      <c r="N20" s="163">
        <f>3*M20</f>
        <v>0</v>
      </c>
      <c r="O20" s="74"/>
      <c r="P20" s="75">
        <f t="shared" si="0"/>
        <v>0</v>
      </c>
      <c r="Q20" s="217"/>
      <c r="R20" s="9">
        <f t="shared" si="1"/>
        <v>0</v>
      </c>
      <c r="S20" s="107"/>
      <c r="T20" s="5"/>
      <c r="U20" s="258">
        <v>900</v>
      </c>
      <c r="V20" s="259">
        <f>+U20*0.13</f>
        <v>117</v>
      </c>
      <c r="W20" s="327">
        <f>+V20+U20</f>
        <v>1017</v>
      </c>
      <c r="X20" s="100"/>
      <c r="Y20" s="266"/>
      <c r="Z20" s="282">
        <f t="shared" si="2"/>
        <v>43676</v>
      </c>
      <c r="AA20" s="318">
        <v>1</v>
      </c>
      <c r="AB20" s="281">
        <v>2</v>
      </c>
      <c r="AC20" s="33" t="s">
        <v>152</v>
      </c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277"/>
      <c r="N21" s="278">
        <v>0</v>
      </c>
      <c r="O21" s="277"/>
      <c r="P21" s="278">
        <f t="shared" si="0"/>
        <v>0</v>
      </c>
      <c r="Q21" s="279"/>
      <c r="R21" s="278">
        <f t="shared" si="1"/>
        <v>0</v>
      </c>
      <c r="S21" s="280"/>
      <c r="T21" s="5"/>
      <c r="U21" s="326">
        <f>+V21+W21</f>
        <v>802.83185840707961</v>
      </c>
      <c r="V21" s="256">
        <f>+V20*W21/W20</f>
        <v>82.83185840707965</v>
      </c>
      <c r="W21" s="261">
        <v>720</v>
      </c>
      <c r="X21" s="36" t="s">
        <v>350</v>
      </c>
      <c r="Z21" s="282">
        <f t="shared" si="2"/>
        <v>43677</v>
      </c>
      <c r="AA21" s="318"/>
      <c r="AB21" s="281"/>
      <c r="AC21" s="33" t="s">
        <v>153</v>
      </c>
    </row>
    <row r="22" spans="1:29">
      <c r="A22" s="215"/>
      <c r="H22" s="142"/>
      <c r="I22" s="25" t="s">
        <v>4</v>
      </c>
      <c r="J22" s="81" t="s">
        <v>111</v>
      </c>
      <c r="K22" s="228"/>
      <c r="L22" s="227">
        <v>0</v>
      </c>
      <c r="M22" s="164"/>
      <c r="N22" s="163">
        <f>+M22*3</f>
        <v>0</v>
      </c>
      <c r="O22" s="28">
        <v>35</v>
      </c>
      <c r="P22" s="75">
        <f t="shared" si="0"/>
        <v>150</v>
      </c>
      <c r="Q22" s="218"/>
      <c r="R22" s="11">
        <f t="shared" si="1"/>
        <v>150</v>
      </c>
      <c r="S22" s="107"/>
      <c r="T22" s="5"/>
      <c r="U22" s="32">
        <f>+U20-U21</f>
        <v>97.168141592920392</v>
      </c>
      <c r="V22" s="47"/>
      <c r="W22" s="33"/>
      <c r="X22" s="262" t="s">
        <v>59</v>
      </c>
      <c r="Z22" s="282">
        <f t="shared" si="2"/>
        <v>43678</v>
      </c>
      <c r="AA22" s="318"/>
      <c r="AB22" s="281"/>
      <c r="AC22" s="33" t="s">
        <v>154</v>
      </c>
    </row>
    <row r="23" spans="1:29">
      <c r="A23" s="215"/>
      <c r="H23" s="142"/>
      <c r="I23" s="25" t="s">
        <v>9</v>
      </c>
      <c r="J23" s="81" t="s">
        <v>128</v>
      </c>
      <c r="K23" s="228"/>
      <c r="L23" s="227">
        <v>0</v>
      </c>
      <c r="M23" s="164"/>
      <c r="N23" s="163">
        <f>+M23*3</f>
        <v>0</v>
      </c>
      <c r="O23" s="28">
        <v>40</v>
      </c>
      <c r="P23" s="75">
        <f t="shared" si="0"/>
        <v>150</v>
      </c>
      <c r="Q23" s="218"/>
      <c r="R23" s="11">
        <f t="shared" si="1"/>
        <v>150</v>
      </c>
      <c r="S23" s="107"/>
      <c r="T23" s="5"/>
      <c r="U23" s="34">
        <v>150</v>
      </c>
      <c r="V23" s="38">
        <f>+U23-U22</f>
        <v>52.831858407079608</v>
      </c>
      <c r="W23" s="39" t="s">
        <v>63</v>
      </c>
      <c r="X23" s="263">
        <f>150-V23</f>
        <v>97.168141592920392</v>
      </c>
      <c r="Z23" s="282">
        <f t="shared" si="2"/>
        <v>43679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164"/>
      <c r="N24" s="163">
        <v>0</v>
      </c>
      <c r="O24" s="28">
        <v>31</v>
      </c>
      <c r="P24" s="11">
        <f t="shared" si="0"/>
        <v>150</v>
      </c>
      <c r="Q24" s="218"/>
      <c r="R24" s="11">
        <f t="shared" si="1"/>
        <v>150</v>
      </c>
      <c r="S24" s="241"/>
      <c r="T24" s="5"/>
      <c r="U24" s="10"/>
      <c r="X24" s="37"/>
      <c r="Z24" s="282">
        <f t="shared" si="2"/>
        <v>43680</v>
      </c>
      <c r="AA24" s="318"/>
      <c r="AB24" s="281"/>
      <c r="AC24" s="61"/>
    </row>
    <row r="25" spans="1:29">
      <c r="H25" s="251" t="s">
        <v>50</v>
      </c>
      <c r="I25" s="275" t="s">
        <v>328</v>
      </c>
      <c r="J25" s="276" t="s">
        <v>329</v>
      </c>
      <c r="K25" s="277"/>
      <c r="L25" s="278">
        <v>0</v>
      </c>
      <c r="M25" s="277"/>
      <c r="N25" s="278">
        <v>0</v>
      </c>
      <c r="O25" s="277">
        <v>41</v>
      </c>
      <c r="P25" s="278">
        <f t="shared" si="0"/>
        <v>150</v>
      </c>
      <c r="Q25" s="279">
        <v>-4</v>
      </c>
      <c r="R25" s="278">
        <f t="shared" si="1"/>
        <v>146</v>
      </c>
      <c r="S25" s="280"/>
      <c r="T25" s="5"/>
      <c r="Z25" s="282">
        <f t="shared" si="2"/>
        <v>43681</v>
      </c>
      <c r="AA25" s="318"/>
      <c r="AB25" s="281"/>
      <c r="AC25" s="61"/>
    </row>
    <row r="26" spans="1:29">
      <c r="A26" s="237"/>
      <c r="B26" s="237"/>
      <c r="C26" s="237"/>
      <c r="D26" s="238"/>
      <c r="E26" s="237"/>
      <c r="F26" s="239"/>
      <c r="G26" s="237"/>
      <c r="H26" s="142"/>
      <c r="I26" s="25" t="s">
        <v>51</v>
      </c>
      <c r="J26" s="96" t="s">
        <v>134</v>
      </c>
      <c r="K26" s="29"/>
      <c r="L26" s="27">
        <f>+K26*3</f>
        <v>0</v>
      </c>
      <c r="M26" s="164"/>
      <c r="N26" s="163">
        <f>+M26*3</f>
        <v>0</v>
      </c>
      <c r="O26" s="28">
        <v>41</v>
      </c>
      <c r="P26" s="11">
        <f t="shared" si="0"/>
        <v>150</v>
      </c>
      <c r="Q26" s="218"/>
      <c r="R26" s="240">
        <f t="shared" si="1"/>
        <v>150</v>
      </c>
      <c r="S26" s="241"/>
      <c r="T26" s="5"/>
      <c r="U26" s="332" t="s">
        <v>382</v>
      </c>
      <c r="Z26" s="282">
        <f t="shared" si="2"/>
        <v>43682</v>
      </c>
      <c r="AA26" s="318"/>
      <c r="AB26" s="281"/>
      <c r="AC26" s="65"/>
    </row>
    <row r="27" spans="1:29">
      <c r="A27" s="215"/>
      <c r="H27" s="83"/>
      <c r="I27" s="126" t="s">
        <v>61</v>
      </c>
      <c r="J27" s="80" t="s">
        <v>137</v>
      </c>
      <c r="K27" s="226"/>
      <c r="L27" s="227">
        <f>3*K27</f>
        <v>0</v>
      </c>
      <c r="M27" s="162"/>
      <c r="N27" s="163">
        <f>3*M27</f>
        <v>0</v>
      </c>
      <c r="O27" s="72"/>
      <c r="P27" s="75">
        <f t="shared" si="0"/>
        <v>0</v>
      </c>
      <c r="Q27" s="217"/>
      <c r="R27" s="11">
        <f t="shared" si="1"/>
        <v>0</v>
      </c>
      <c r="S27" s="106"/>
      <c r="T27" s="5"/>
      <c r="Z27" s="282">
        <f t="shared" si="2"/>
        <v>43683</v>
      </c>
      <c r="AA27" s="319"/>
      <c r="AB27" s="281"/>
      <c r="AC27" s="66"/>
    </row>
    <row r="28" spans="1:29">
      <c r="A28" s="215"/>
      <c r="H28" s="242" t="s">
        <v>232</v>
      </c>
      <c r="I28" s="188" t="s">
        <v>14</v>
      </c>
      <c r="J28" s="189" t="s">
        <v>125</v>
      </c>
      <c r="K28" s="192"/>
      <c r="L28" s="193">
        <f>+K28*3</f>
        <v>0</v>
      </c>
      <c r="M28" s="192"/>
      <c r="N28" s="193">
        <f>3*M28</f>
        <v>0</v>
      </c>
      <c r="O28" s="192">
        <v>39</v>
      </c>
      <c r="P28" s="193">
        <f t="shared" si="0"/>
        <v>150</v>
      </c>
      <c r="Q28" s="221"/>
      <c r="R28" s="329">
        <f t="shared" si="1"/>
        <v>150</v>
      </c>
      <c r="S28" s="107"/>
      <c r="T28" s="5"/>
      <c r="U28" s="287" t="s">
        <v>347</v>
      </c>
      <c r="Z28" s="314" t="s">
        <v>150</v>
      </c>
      <c r="AA28" s="315">
        <f>SUM(AA17:AA27)</f>
        <v>4</v>
      </c>
      <c r="AB28" s="316" t="s">
        <v>148</v>
      </c>
      <c r="AC28" s="68"/>
    </row>
    <row r="29" spans="1:29">
      <c r="A29" s="215"/>
      <c r="H29" s="83"/>
      <c r="I29" s="126" t="s">
        <v>79</v>
      </c>
      <c r="J29" s="82" t="s">
        <v>110</v>
      </c>
      <c r="K29" s="228"/>
      <c r="L29" s="227">
        <v>0</v>
      </c>
      <c r="M29" s="164"/>
      <c r="N29" s="163">
        <v>0</v>
      </c>
      <c r="O29" s="76">
        <v>37</v>
      </c>
      <c r="P29" s="75">
        <f t="shared" si="0"/>
        <v>150</v>
      </c>
      <c r="Q29" s="217"/>
      <c r="R29" s="11">
        <f t="shared" si="1"/>
        <v>150</v>
      </c>
      <c r="S29" s="106"/>
      <c r="T29" s="5"/>
      <c r="Z29" s="184"/>
      <c r="AA29" s="171">
        <f>SUM(AB17:AB27)</f>
        <v>15</v>
      </c>
      <c r="AB29" s="185" t="s">
        <v>149</v>
      </c>
      <c r="AC29" s="69"/>
    </row>
    <row r="30" spans="1:29" ht="16.5">
      <c r="H30" s="83"/>
      <c r="I30" s="269" t="s">
        <v>214</v>
      </c>
      <c r="J30" s="270" t="s">
        <v>215</v>
      </c>
      <c r="K30" s="271"/>
      <c r="L30" s="272">
        <v>0</v>
      </c>
      <c r="M30" s="271"/>
      <c r="N30" s="272">
        <f>3*M30</f>
        <v>0</v>
      </c>
      <c r="O30" s="271">
        <v>47</v>
      </c>
      <c r="P30" s="272">
        <f t="shared" si="0"/>
        <v>150</v>
      </c>
      <c r="Q30" s="273">
        <v>-1.37</v>
      </c>
      <c r="R30" s="272">
        <f t="shared" si="1"/>
        <v>148.63</v>
      </c>
      <c r="S30" s="274"/>
      <c r="T30" s="5"/>
      <c r="Z30" s="186" t="s">
        <v>160</v>
      </c>
      <c r="AA30" s="284">
        <f>+AA29/AA28</f>
        <v>3.75</v>
      </c>
      <c r="AB30" s="173" t="s">
        <v>150</v>
      </c>
      <c r="AC30" s="65"/>
    </row>
    <row r="31" spans="1:29">
      <c r="A31" s="237"/>
      <c r="B31" s="237"/>
      <c r="C31" s="237"/>
      <c r="D31" s="238"/>
      <c r="E31" s="237"/>
      <c r="F31" s="239"/>
      <c r="G31" s="237"/>
      <c r="H31" s="142"/>
      <c r="I31" s="25" t="s">
        <v>45</v>
      </c>
      <c r="J31" s="96" t="s">
        <v>133</v>
      </c>
      <c r="K31" s="29"/>
      <c r="L31" s="27">
        <f>+K31*3</f>
        <v>0</v>
      </c>
      <c r="M31" s="164"/>
      <c r="N31" s="163">
        <f>+M31*3</f>
        <v>0</v>
      </c>
      <c r="O31" s="28">
        <v>37</v>
      </c>
      <c r="P31" s="11">
        <f t="shared" si="0"/>
        <v>150</v>
      </c>
      <c r="Q31" s="218"/>
      <c r="R31" s="240">
        <f t="shared" si="1"/>
        <v>150</v>
      </c>
      <c r="S31" s="241"/>
      <c r="T31" s="5"/>
    </row>
    <row r="32" spans="1:29">
      <c r="A32" s="215"/>
      <c r="H32" s="142"/>
      <c r="I32" s="25" t="s">
        <v>13</v>
      </c>
      <c r="J32" s="81" t="s">
        <v>319</v>
      </c>
      <c r="K32" s="228"/>
      <c r="L32" s="227">
        <f>3*K32</f>
        <v>0</v>
      </c>
      <c r="M32" s="164"/>
      <c r="N32" s="163">
        <v>0</v>
      </c>
      <c r="O32" s="28"/>
      <c r="P32" s="75">
        <f t="shared" si="0"/>
        <v>0</v>
      </c>
      <c r="Q32" s="218"/>
      <c r="R32" s="57">
        <f t="shared" si="1"/>
        <v>0</v>
      </c>
      <c r="S32" s="107"/>
      <c r="T32" s="5"/>
    </row>
    <row r="33" spans="1:32">
      <c r="A33" s="215"/>
      <c r="H33" s="95"/>
      <c r="I33" s="25" t="s">
        <v>31</v>
      </c>
      <c r="J33" s="81" t="s">
        <v>127</v>
      </c>
      <c r="K33" s="228"/>
      <c r="L33" s="227">
        <v>0</v>
      </c>
      <c r="M33" s="164"/>
      <c r="N33" s="163">
        <v>0</v>
      </c>
      <c r="O33" s="28">
        <v>2</v>
      </c>
      <c r="P33" s="75">
        <f t="shared" si="0"/>
        <v>12</v>
      </c>
      <c r="Q33" s="218"/>
      <c r="R33" s="11">
        <f t="shared" si="1"/>
        <v>12</v>
      </c>
      <c r="S33" s="107"/>
      <c r="T33" s="5"/>
    </row>
    <row r="34" spans="1:32" s="4" customFormat="1">
      <c r="A34" s="215"/>
      <c r="B34"/>
      <c r="C34"/>
      <c r="D34" s="1"/>
      <c r="E34"/>
      <c r="F34" s="2"/>
      <c r="G34"/>
      <c r="H34" s="95"/>
      <c r="I34" s="25" t="s">
        <v>30</v>
      </c>
      <c r="J34" s="81" t="s">
        <v>126</v>
      </c>
      <c r="K34" s="228"/>
      <c r="L34" s="227">
        <f>+K34*3</f>
        <v>0</v>
      </c>
      <c r="M34" s="164"/>
      <c r="N34" s="163">
        <f>+M34*3</f>
        <v>0</v>
      </c>
      <c r="O34" s="28"/>
      <c r="P34" s="75">
        <f t="shared" si="0"/>
        <v>0</v>
      </c>
      <c r="Q34" s="218"/>
      <c r="R34" s="320">
        <f t="shared" si="1"/>
        <v>0</v>
      </c>
      <c r="S34" s="107"/>
      <c r="T34" s="5"/>
      <c r="U34"/>
      <c r="V34" s="46"/>
      <c r="W34"/>
      <c r="X34"/>
      <c r="Y34"/>
      <c r="Z34"/>
      <c r="AA34"/>
      <c r="AB34"/>
      <c r="AC34"/>
      <c r="AD34"/>
      <c r="AE34"/>
      <c r="AF34"/>
    </row>
    <row r="35" spans="1:32">
      <c r="A35" s="215"/>
      <c r="H35" s="83"/>
      <c r="I35" s="269" t="s">
        <v>186</v>
      </c>
      <c r="J35" s="270" t="s">
        <v>187</v>
      </c>
      <c r="K35" s="271"/>
      <c r="L35" s="272">
        <v>0</v>
      </c>
      <c r="M35" s="271"/>
      <c r="N35" s="272">
        <v>0</v>
      </c>
      <c r="O35" s="271"/>
      <c r="P35" s="272">
        <f t="shared" si="0"/>
        <v>0</v>
      </c>
      <c r="Q35" s="273"/>
      <c r="R35" s="272">
        <f t="shared" si="1"/>
        <v>0</v>
      </c>
      <c r="S35" s="274"/>
      <c r="T35" s="5"/>
    </row>
    <row r="36" spans="1:32">
      <c r="A36" s="215"/>
      <c r="H36" s="83"/>
      <c r="I36" s="25" t="s">
        <v>17</v>
      </c>
      <c r="J36" s="81" t="s">
        <v>123</v>
      </c>
      <c r="K36" s="228"/>
      <c r="L36" s="227">
        <f>+K36*3</f>
        <v>0</v>
      </c>
      <c r="M36" s="164"/>
      <c r="N36" s="163">
        <v>0</v>
      </c>
      <c r="O36" s="74">
        <v>37</v>
      </c>
      <c r="P36" s="75">
        <f t="shared" si="0"/>
        <v>150</v>
      </c>
      <c r="Q36" s="218"/>
      <c r="R36" s="11">
        <f t="shared" si="1"/>
        <v>150</v>
      </c>
      <c r="S36" s="107"/>
      <c r="T36" s="5"/>
    </row>
    <row r="37" spans="1:32">
      <c r="A37" s="215"/>
      <c r="H37" s="83"/>
      <c r="I37" s="25" t="s">
        <v>60</v>
      </c>
      <c r="J37" s="81" t="s">
        <v>132</v>
      </c>
      <c r="K37" s="228"/>
      <c r="L37" s="227">
        <v>0</v>
      </c>
      <c r="M37" s="164"/>
      <c r="N37" s="163">
        <v>0</v>
      </c>
      <c r="O37" s="74"/>
      <c r="P37" s="75">
        <f>IF(O37&gt;25,150,(O37)*6)</f>
        <v>0</v>
      </c>
      <c r="Q37" s="218"/>
      <c r="R37" s="11">
        <f>+L37+N37+P37+Q37</f>
        <v>0</v>
      </c>
      <c r="S37" s="107"/>
      <c r="T37" s="5"/>
    </row>
    <row r="38" spans="1:32">
      <c r="H38" s="142"/>
      <c r="I38" s="25" t="s">
        <v>233</v>
      </c>
      <c r="J38" s="81" t="s">
        <v>234</v>
      </c>
      <c r="K38" s="228"/>
      <c r="L38" s="227">
        <v>0</v>
      </c>
      <c r="M38" s="164"/>
      <c r="N38" s="163">
        <f>3*M38</f>
        <v>0</v>
      </c>
      <c r="O38" s="28"/>
      <c r="P38" s="75">
        <f t="shared" si="0"/>
        <v>0</v>
      </c>
      <c r="Q38" s="218"/>
      <c r="R38" s="57">
        <f t="shared" si="1"/>
        <v>0</v>
      </c>
      <c r="S38" s="107"/>
      <c r="T38" s="5"/>
      <c r="AF38" s="4"/>
    </row>
    <row r="39" spans="1:32">
      <c r="A39" s="215"/>
      <c r="H39" s="242" t="s">
        <v>232</v>
      </c>
      <c r="I39" s="188" t="s">
        <v>8</v>
      </c>
      <c r="J39" s="189" t="s">
        <v>120</v>
      </c>
      <c r="K39" s="192"/>
      <c r="L39" s="193">
        <v>0</v>
      </c>
      <c r="M39" s="192"/>
      <c r="N39" s="193">
        <v>0</v>
      </c>
      <c r="O39" s="192">
        <v>32</v>
      </c>
      <c r="P39" s="193">
        <f t="shared" si="0"/>
        <v>150</v>
      </c>
      <c r="Q39" s="221"/>
      <c r="R39" s="329">
        <f t="shared" si="1"/>
        <v>150</v>
      </c>
      <c r="S39" s="107"/>
      <c r="T39" s="5"/>
    </row>
    <row r="40" spans="1:32">
      <c r="A40" s="215"/>
      <c r="H40" s="83"/>
      <c r="I40" s="25" t="s">
        <v>11</v>
      </c>
      <c r="J40" s="96" t="s">
        <v>130</v>
      </c>
      <c r="K40" s="228"/>
      <c r="L40" s="227">
        <f>+K40*3</f>
        <v>0</v>
      </c>
      <c r="M40" s="164"/>
      <c r="N40" s="163">
        <f>+M40*3</f>
        <v>0</v>
      </c>
      <c r="O40" s="74">
        <v>1</v>
      </c>
      <c r="P40" s="75">
        <f t="shared" si="0"/>
        <v>6</v>
      </c>
      <c r="Q40" s="220"/>
      <c r="R40" s="11">
        <f t="shared" si="1"/>
        <v>6</v>
      </c>
      <c r="S40" s="107"/>
      <c r="T40" s="5"/>
    </row>
    <row r="41" spans="1:32">
      <c r="H41" s="83"/>
      <c r="I41" s="25" t="s">
        <v>44</v>
      </c>
      <c r="J41" s="96" t="s">
        <v>124</v>
      </c>
      <c r="K41" s="228"/>
      <c r="L41" s="227">
        <f>+K41*3</f>
        <v>0</v>
      </c>
      <c r="M41" s="164"/>
      <c r="N41" s="163">
        <f>+M41*3</f>
        <v>0</v>
      </c>
      <c r="O41" s="113"/>
      <c r="P41" s="75">
        <f t="shared" si="0"/>
        <v>0</v>
      </c>
      <c r="Q41" s="218"/>
      <c r="R41" s="11">
        <f t="shared" si="1"/>
        <v>0</v>
      </c>
      <c r="S41" s="107"/>
      <c r="T41" s="5"/>
    </row>
    <row r="42" spans="1:32">
      <c r="H42" s="83"/>
      <c r="I42" s="25" t="s">
        <v>6</v>
      </c>
      <c r="J42" s="96" t="s">
        <v>116</v>
      </c>
      <c r="K42" s="228"/>
      <c r="L42" s="227">
        <f>+K42*3</f>
        <v>0</v>
      </c>
      <c r="M42" s="164"/>
      <c r="N42" s="163">
        <f>+M42*3</f>
        <v>0</v>
      </c>
      <c r="O42" s="74"/>
      <c r="P42" s="75">
        <f t="shared" si="0"/>
        <v>0</v>
      </c>
      <c r="Q42" s="220"/>
      <c r="R42" s="11">
        <f t="shared" si="1"/>
        <v>0</v>
      </c>
      <c r="S42" s="107"/>
      <c r="T42" s="5"/>
    </row>
    <row r="43" spans="1:32">
      <c r="H43" s="95"/>
      <c r="I43" s="25" t="s">
        <v>53</v>
      </c>
      <c r="J43" s="81" t="s">
        <v>135</v>
      </c>
      <c r="K43" s="228"/>
      <c r="L43" s="227">
        <v>0</v>
      </c>
      <c r="M43" s="164"/>
      <c r="N43" s="163">
        <v>0</v>
      </c>
      <c r="O43" s="28">
        <v>34</v>
      </c>
      <c r="P43" s="75">
        <f t="shared" si="0"/>
        <v>150</v>
      </c>
      <c r="Q43" s="218"/>
      <c r="R43" s="11">
        <f t="shared" si="1"/>
        <v>150</v>
      </c>
      <c r="S43" s="107"/>
      <c r="T43" s="5"/>
    </row>
    <row r="44" spans="1:32">
      <c r="H44" s="81"/>
      <c r="I44" s="120" t="s">
        <v>12</v>
      </c>
      <c r="J44" s="150" t="s">
        <v>114</v>
      </c>
      <c r="K44" s="232"/>
      <c r="L44" s="233">
        <v>0</v>
      </c>
      <c r="M44" s="165"/>
      <c r="N44" s="166">
        <f>3*M44</f>
        <v>0</v>
      </c>
      <c r="O44" s="122">
        <v>33</v>
      </c>
      <c r="P44" s="147">
        <f t="shared" si="0"/>
        <v>150</v>
      </c>
      <c r="Q44" s="222"/>
      <c r="R44" s="124">
        <f t="shared" si="1"/>
        <v>150</v>
      </c>
      <c r="S44" s="148"/>
      <c r="T44" s="5"/>
    </row>
    <row r="45" spans="1:32">
      <c r="I45" s="13"/>
      <c r="J45" s="14"/>
      <c r="K45" s="234">
        <f t="shared" ref="K45:S45" si="3">SUM(K5:K44)</f>
        <v>0</v>
      </c>
      <c r="L45" s="235">
        <f t="shared" si="3"/>
        <v>0</v>
      </c>
      <c r="M45" s="167">
        <f t="shared" si="3"/>
        <v>0</v>
      </c>
      <c r="N45" s="168">
        <f t="shared" si="3"/>
        <v>0</v>
      </c>
      <c r="O45" s="77">
        <f t="shared" si="3"/>
        <v>731</v>
      </c>
      <c r="P45" s="78">
        <f t="shared" si="3"/>
        <v>3024</v>
      </c>
      <c r="Q45" s="323">
        <f t="shared" si="3"/>
        <v>-5.37</v>
      </c>
      <c r="R45" s="78">
        <f t="shared" si="3"/>
        <v>3018.63</v>
      </c>
      <c r="S45" s="102">
        <f t="shared" si="3"/>
        <v>0</v>
      </c>
      <c r="T45" s="5"/>
    </row>
    <row r="46" spans="1:32">
      <c r="J46" s="200">
        <f ca="1">TODAY()</f>
        <v>43825</v>
      </c>
      <c r="K46" s="41"/>
      <c r="M46" s="42"/>
      <c r="N46" s="41"/>
      <c r="O46" s="45" t="s">
        <v>81</v>
      </c>
      <c r="Q46" s="42"/>
      <c r="R46" s="45">
        <f>+R11+R15+R21+R25+R28+R39</f>
        <v>452</v>
      </c>
      <c r="T46" s="5"/>
      <c r="AC46">
        <v>4</v>
      </c>
    </row>
    <row r="47" spans="1:32" ht="15" customHeight="1">
      <c r="L47" s="43"/>
      <c r="M47" s="44"/>
      <c r="N47" s="125"/>
      <c r="O47" s="43" t="s">
        <v>91</v>
      </c>
      <c r="P47" s="114"/>
      <c r="Q47" s="110" t="s">
        <v>58</v>
      </c>
      <c r="R47" s="111">
        <f>+R45-R46</f>
        <v>2566.63</v>
      </c>
      <c r="S47" s="10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30" t="s">
        <v>330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31" t="s">
        <v>331</v>
      </c>
      <c r="P50" s="19"/>
      <c r="T50" s="5"/>
    </row>
    <row r="51" spans="9:29">
      <c r="I51" s="330" t="s">
        <v>376</v>
      </c>
      <c r="P51" s="19"/>
      <c r="T51" s="5"/>
    </row>
    <row r="52" spans="9:29">
      <c r="I52" s="330" t="s">
        <v>377</v>
      </c>
      <c r="P52" s="19"/>
      <c r="T52" s="5"/>
      <c r="V52" s="59"/>
      <c r="W52" s="60"/>
      <c r="X52" s="61"/>
    </row>
    <row r="53" spans="9:29">
      <c r="I53" s="330" t="s">
        <v>378</v>
      </c>
      <c r="P53" s="19"/>
      <c r="T53" s="5"/>
      <c r="U53" s="58"/>
      <c r="V53" s="59"/>
      <c r="W53" s="60"/>
      <c r="X53" s="61"/>
    </row>
    <row r="54" spans="9:29">
      <c r="I54" s="330" t="s">
        <v>379</v>
      </c>
      <c r="U54" s="58"/>
      <c r="V54" s="59"/>
      <c r="W54" s="62"/>
      <c r="X54" s="65"/>
    </row>
    <row r="55" spans="9:29">
      <c r="I55" s="330" t="s">
        <v>380</v>
      </c>
      <c r="U55" s="58"/>
      <c r="V55" s="59"/>
      <c r="W55" s="67"/>
      <c r="X55" s="60"/>
    </row>
    <row r="56" spans="9:29">
      <c r="I56" s="330" t="s">
        <v>334</v>
      </c>
      <c r="U56" s="58"/>
      <c r="V56" s="59"/>
      <c r="W56" s="60"/>
      <c r="X56" s="60"/>
    </row>
    <row r="57" spans="9:29">
      <c r="U57" s="58"/>
      <c r="V57" s="59"/>
      <c r="W57" s="60"/>
      <c r="X57" s="68"/>
    </row>
    <row r="58" spans="9:29">
      <c r="U58" s="58"/>
      <c r="V58" s="59"/>
      <c r="W58" s="60"/>
      <c r="X58" s="69"/>
    </row>
    <row r="59" spans="9:29">
      <c r="U59" s="58"/>
      <c r="V59" s="59"/>
      <c r="W59" s="60"/>
      <c r="X59" s="60"/>
    </row>
    <row r="60" spans="9:29">
      <c r="U60" s="58"/>
      <c r="V60" s="59"/>
      <c r="W60" s="60"/>
      <c r="X60" s="60"/>
    </row>
    <row r="61" spans="9:29">
      <c r="U61" s="58"/>
      <c r="V61" s="59"/>
      <c r="W61" s="62"/>
      <c r="X61" s="60"/>
    </row>
    <row r="62" spans="9:29">
      <c r="U62" s="58"/>
      <c r="V62" s="59"/>
      <c r="W62" s="62"/>
      <c r="X62" s="60"/>
    </row>
    <row r="63" spans="9:29">
      <c r="U63" s="64"/>
      <c r="V63" s="59"/>
      <c r="W63" s="60"/>
      <c r="X63" s="60"/>
    </row>
    <row r="64" spans="9:29">
      <c r="U64" s="58"/>
      <c r="V64" s="66"/>
      <c r="W64" s="67"/>
      <c r="X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  <row r="68" spans="21:23">
      <c r="U68" s="60"/>
      <c r="V68" s="59"/>
      <c r="W68" s="60"/>
    </row>
    <row r="69" spans="21:23">
      <c r="U69" s="60"/>
      <c r="V69" s="59"/>
      <c r="W69" s="60"/>
    </row>
    <row r="70" spans="21:23">
      <c r="U70" s="60"/>
      <c r="V70" s="59"/>
      <c r="W70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80" priority="2" operator="lessThanOrEqual">
      <formula>0</formula>
    </cfRule>
  </conditionalFormatting>
  <conditionalFormatting sqref="R5:R44">
    <cfRule type="cellIs" dxfId="79" priority="1" operator="greaterThan">
      <formula>0</formula>
    </cfRule>
  </conditionalFormatting>
  <printOptions horizontalCentered="1"/>
  <pageMargins left="0" right="0" top="0.47244094488188981" bottom="0" header="0" footer="0"/>
  <pageSetup paperSize="9" orientation="portrait" r:id="rId1"/>
  <ignoredErrors>
    <ignoredError sqref="L18:N27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70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U30" sqref="U30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.7109375" customWidth="1"/>
    <col min="9" max="9" width="7.42578125" customWidth="1"/>
    <col min="10" max="10" width="25.7109375" customWidth="1"/>
    <col min="11" max="11" width="1.7109375" customWidth="1"/>
    <col min="12" max="12" width="1.5703125" customWidth="1"/>
    <col min="13" max="14" width="6.7109375" customWidth="1"/>
    <col min="15" max="15" width="6.85546875" customWidth="1"/>
    <col min="16" max="16" width="12.140625" customWidth="1"/>
    <col min="17" max="17" width="7.7109375" customWidth="1"/>
    <col min="18" max="18" width="15.7109375" customWidth="1"/>
    <col min="19" max="19" width="3.7109375" style="103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5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>
      <c r="H2" s="83"/>
      <c r="I2" s="429" t="s">
        <v>367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285" t="s">
        <v>298</v>
      </c>
      <c r="O4" s="87" t="s">
        <v>15</v>
      </c>
      <c r="P4" s="87" t="s">
        <v>368</v>
      </c>
      <c r="Q4" s="99" t="s">
        <v>369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v>0</v>
      </c>
      <c r="O5" s="76">
        <v>40</v>
      </c>
      <c r="P5" s="75">
        <f t="shared" ref="P5:P44" si="0">IF(O5&gt;25,150,(O5)*6)</f>
        <v>150</v>
      </c>
      <c r="Q5" s="217"/>
      <c r="R5" s="11">
        <f t="shared" ref="R5:R44" si="1">+L5+N5+P5+Q5</f>
        <v>150</v>
      </c>
      <c r="S5" s="106"/>
      <c r="T5" s="5"/>
      <c r="U5" s="258">
        <v>972</v>
      </c>
      <c r="V5" s="259">
        <v>125.87</v>
      </c>
      <c r="W5" s="260">
        <v>846.13</v>
      </c>
      <c r="X5" s="242" t="s">
        <v>284</v>
      </c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26">
        <f>+V6+W6</f>
        <v>945.42918936806404</v>
      </c>
      <c r="V6" s="256">
        <f>+V5*W6/W5</f>
        <v>122.42918936806402</v>
      </c>
      <c r="W6" s="261">
        <v>823</v>
      </c>
      <c r="X6" s="36" t="s">
        <v>348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164"/>
      <c r="N7" s="163">
        <v>0</v>
      </c>
      <c r="O7" s="74">
        <v>37</v>
      </c>
      <c r="P7" s="75">
        <f t="shared" si="0"/>
        <v>150</v>
      </c>
      <c r="Q7" s="218"/>
      <c r="R7" s="9">
        <f t="shared" si="1"/>
        <v>150</v>
      </c>
      <c r="S7" s="106"/>
      <c r="T7" s="5"/>
      <c r="U7" s="32">
        <f>+U5-U6</f>
        <v>26.570810631935956</v>
      </c>
      <c r="V7" s="47"/>
      <c r="W7" s="33"/>
      <c r="X7" s="262" t="s">
        <v>59</v>
      </c>
    </row>
    <row r="8" spans="8:29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>
        <v>35</v>
      </c>
      <c r="P8" s="75">
        <f t="shared" si="0"/>
        <v>150</v>
      </c>
      <c r="Q8" s="218"/>
      <c r="R8" s="9">
        <f t="shared" si="1"/>
        <v>150</v>
      </c>
      <c r="S8" s="138"/>
      <c r="T8" s="5"/>
      <c r="U8" s="34">
        <v>150</v>
      </c>
      <c r="V8" s="38">
        <f>+U8-U7</f>
        <v>123.42918936806404</v>
      </c>
      <c r="W8" s="39" t="s">
        <v>63</v>
      </c>
      <c r="X8" s="263">
        <f>150-V8</f>
        <v>26.570810631935956</v>
      </c>
    </row>
    <row r="9" spans="8:29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/>
      <c r="P9" s="75">
        <f t="shared" si="0"/>
        <v>0</v>
      </c>
      <c r="Q9" s="218"/>
      <c r="R9" s="11">
        <f t="shared" si="1"/>
        <v>0</v>
      </c>
      <c r="S9" s="107"/>
      <c r="T9" s="5"/>
      <c r="U9" s="10"/>
      <c r="X9" s="37"/>
    </row>
    <row r="10" spans="8:29" ht="15" customHeight="1">
      <c r="H10" s="95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28"/>
      <c r="P10" s="75">
        <f t="shared" si="0"/>
        <v>0</v>
      </c>
      <c r="Q10" s="218"/>
      <c r="R10" s="11">
        <f t="shared" si="1"/>
        <v>0</v>
      </c>
      <c r="S10" s="197"/>
      <c r="T10" s="5"/>
      <c r="U10" s="258">
        <v>988</v>
      </c>
      <c r="V10" s="259">
        <v>118.76</v>
      </c>
      <c r="W10" s="260">
        <v>869.24</v>
      </c>
      <c r="X10" s="242" t="s">
        <v>349</v>
      </c>
      <c r="Y10" s="266"/>
    </row>
    <row r="11" spans="8:29">
      <c r="H11" s="242" t="s">
        <v>227</v>
      </c>
      <c r="I11" s="188" t="s">
        <v>56</v>
      </c>
      <c r="J11" s="189" t="s">
        <v>136</v>
      </c>
      <c r="K11" s="192"/>
      <c r="L11" s="193">
        <v>0</v>
      </c>
      <c r="M11" s="192"/>
      <c r="N11" s="193">
        <f>2.7*M11</f>
        <v>0</v>
      </c>
      <c r="O11" s="192">
        <v>40</v>
      </c>
      <c r="P11" s="193">
        <f t="shared" si="0"/>
        <v>150</v>
      </c>
      <c r="Q11" s="221"/>
      <c r="R11" s="329">
        <f t="shared" si="1"/>
        <v>150</v>
      </c>
      <c r="S11" s="107"/>
      <c r="T11" s="5"/>
      <c r="U11" s="326">
        <f>+V11+W11</f>
        <v>935.44245547834896</v>
      </c>
      <c r="V11" s="256">
        <f>+V10*W11/W10</f>
        <v>112.44245547834892</v>
      </c>
      <c r="W11" s="261">
        <v>823</v>
      </c>
      <c r="X11" s="36" t="s">
        <v>348</v>
      </c>
    </row>
    <row r="12" spans="8:29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>
        <v>28</v>
      </c>
      <c r="P12" s="75">
        <f t="shared" si="0"/>
        <v>150</v>
      </c>
      <c r="Q12" s="218"/>
      <c r="R12" s="9">
        <f t="shared" si="1"/>
        <v>150</v>
      </c>
      <c r="S12" s="106"/>
      <c r="T12" s="5"/>
      <c r="U12" s="32">
        <f>+U10-U11</f>
        <v>52.557544521651039</v>
      </c>
      <c r="V12" s="47"/>
      <c r="W12" s="33"/>
      <c r="X12" s="262" t="s">
        <v>59</v>
      </c>
    </row>
    <row r="13" spans="8:29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97.442455478348961</v>
      </c>
      <c r="W13" s="39" t="s">
        <v>63</v>
      </c>
      <c r="X13" s="263">
        <f>150-V13</f>
        <v>52.557544521651039</v>
      </c>
    </row>
    <row r="14" spans="8:29">
      <c r="H14" s="83"/>
      <c r="I14" s="25" t="s">
        <v>20</v>
      </c>
      <c r="J14" s="81" t="s">
        <v>195</v>
      </c>
      <c r="K14" s="228"/>
      <c r="L14" s="227">
        <f>+K14*3</f>
        <v>0</v>
      </c>
      <c r="M14" s="164"/>
      <c r="N14" s="163">
        <f>+M14*3</f>
        <v>0</v>
      </c>
      <c r="O14" s="74"/>
      <c r="P14" s="75">
        <f t="shared" si="0"/>
        <v>0</v>
      </c>
      <c r="Q14" s="217"/>
      <c r="R14" s="9">
        <f t="shared" si="1"/>
        <v>0</v>
      </c>
      <c r="S14" s="107"/>
      <c r="T14" s="5"/>
      <c r="U14" s="10"/>
      <c r="X14" s="37"/>
    </row>
    <row r="15" spans="8:29">
      <c r="H15" s="251" t="s">
        <v>50</v>
      </c>
      <c r="I15" s="275" t="s">
        <v>272</v>
      </c>
      <c r="J15" s="276" t="s">
        <v>271</v>
      </c>
      <c r="K15" s="277"/>
      <c r="L15" s="278">
        <v>0</v>
      </c>
      <c r="M15" s="277"/>
      <c r="N15" s="278">
        <v>0</v>
      </c>
      <c r="O15" s="277"/>
      <c r="P15" s="278">
        <f t="shared" si="0"/>
        <v>0</v>
      </c>
      <c r="Q15" s="279"/>
      <c r="R15" s="278">
        <f t="shared" si="1"/>
        <v>0</v>
      </c>
      <c r="S15" s="280"/>
      <c r="T15" s="5"/>
      <c r="U15" s="258">
        <v>880</v>
      </c>
      <c r="V15" s="259">
        <v>114.4</v>
      </c>
      <c r="W15" s="327">
        <v>765.6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95"/>
      <c r="I16" s="25" t="s">
        <v>25</v>
      </c>
      <c r="J16" s="81" t="s">
        <v>118</v>
      </c>
      <c r="K16" s="228"/>
      <c r="L16" s="227">
        <f>+K16*3</f>
        <v>0</v>
      </c>
      <c r="M16" s="164"/>
      <c r="N16" s="163">
        <f>+M16*3</f>
        <v>0</v>
      </c>
      <c r="O16" s="28"/>
      <c r="P16" s="75">
        <f t="shared" si="0"/>
        <v>0</v>
      </c>
      <c r="Q16" s="218"/>
      <c r="R16" s="11">
        <f t="shared" si="1"/>
        <v>0</v>
      </c>
      <c r="S16" s="107"/>
      <c r="T16" s="5"/>
      <c r="U16" s="326">
        <f>+V16+W16</f>
        <v>827.58620689655174</v>
      </c>
      <c r="V16" s="256">
        <f>+V15*W16/W15</f>
        <v>107.58620689655172</v>
      </c>
      <c r="W16" s="261">
        <v>720</v>
      </c>
      <c r="X16" s="36" t="s">
        <v>350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164"/>
      <c r="N17" s="163">
        <f>+M17*3</f>
        <v>0</v>
      </c>
      <c r="O17" s="28">
        <v>37</v>
      </c>
      <c r="P17" s="75">
        <f t="shared" si="0"/>
        <v>150</v>
      </c>
      <c r="Q17" s="218"/>
      <c r="R17" s="11">
        <f t="shared" si="1"/>
        <v>150</v>
      </c>
      <c r="S17" s="107"/>
      <c r="T17" s="5"/>
      <c r="U17" s="32">
        <f>+U15-U16</f>
        <v>52.413793103448256</v>
      </c>
      <c r="V17" s="47"/>
      <c r="W17" s="33"/>
      <c r="X17" s="262" t="s">
        <v>59</v>
      </c>
      <c r="Z17" s="282">
        <v>43673</v>
      </c>
      <c r="AA17" s="317">
        <v>1</v>
      </c>
      <c r="AB17" s="281">
        <v>3</v>
      </c>
      <c r="AC17" s="174" t="s">
        <v>157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162"/>
      <c r="N18" s="163">
        <f>5*M18</f>
        <v>0</v>
      </c>
      <c r="O18" s="76"/>
      <c r="P18" s="75">
        <f t="shared" si="0"/>
        <v>0</v>
      </c>
      <c r="Q18" s="217"/>
      <c r="R18" s="11">
        <f t="shared" si="1"/>
        <v>0</v>
      </c>
      <c r="S18" s="106"/>
      <c r="T18" s="5"/>
      <c r="U18" s="34">
        <v>150</v>
      </c>
      <c r="V18" s="38">
        <f>+U18-U17</f>
        <v>97.586206896551744</v>
      </c>
      <c r="W18" s="39" t="s">
        <v>63</v>
      </c>
      <c r="X18" s="263">
        <f>150-V18</f>
        <v>52.413793103448256</v>
      </c>
      <c r="Z18" s="282">
        <f>1+Z17</f>
        <v>43674</v>
      </c>
      <c r="AA18" s="318">
        <v>1</v>
      </c>
      <c r="AB18" s="281">
        <v>5</v>
      </c>
      <c r="AC18" s="33" t="s">
        <v>156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164"/>
      <c r="N19" s="163">
        <f>+M19*3</f>
        <v>0</v>
      </c>
      <c r="O19" s="74"/>
      <c r="P19" s="75">
        <f t="shared" si="0"/>
        <v>0</v>
      </c>
      <c r="Q19" s="217"/>
      <c r="R19" s="9">
        <f t="shared" si="1"/>
        <v>0</v>
      </c>
      <c r="S19" s="107"/>
      <c r="T19" s="5"/>
      <c r="U19" s="10"/>
      <c r="X19" s="37"/>
      <c r="Z19" s="282">
        <f t="shared" ref="Z19:Z27" si="2">1+Z18</f>
        <v>43675</v>
      </c>
      <c r="AA19" s="318">
        <v>1</v>
      </c>
      <c r="AB19" s="281">
        <v>5</v>
      </c>
      <c r="AC19" s="33" t="s">
        <v>151</v>
      </c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164"/>
      <c r="N20" s="163">
        <f>3*M20</f>
        <v>0</v>
      </c>
      <c r="O20" s="74"/>
      <c r="P20" s="75">
        <f t="shared" si="0"/>
        <v>0</v>
      </c>
      <c r="Q20" s="217"/>
      <c r="R20" s="9">
        <f t="shared" si="1"/>
        <v>0</v>
      </c>
      <c r="S20" s="107"/>
      <c r="T20" s="5"/>
      <c r="U20" s="258">
        <v>900</v>
      </c>
      <c r="V20" s="259">
        <f>+U20*0.13</f>
        <v>117</v>
      </c>
      <c r="W20" s="327">
        <f>+V20+U20</f>
        <v>1017</v>
      </c>
      <c r="X20" s="100"/>
      <c r="Y20" s="266"/>
      <c r="Z20" s="282">
        <f t="shared" si="2"/>
        <v>43676</v>
      </c>
      <c r="AA20" s="318">
        <v>1</v>
      </c>
      <c r="AB20" s="281">
        <v>2</v>
      </c>
      <c r="AC20" s="33" t="s">
        <v>152</v>
      </c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277"/>
      <c r="N21" s="278">
        <v>0</v>
      </c>
      <c r="O21" s="277"/>
      <c r="P21" s="278">
        <f t="shared" si="0"/>
        <v>0</v>
      </c>
      <c r="Q21" s="279"/>
      <c r="R21" s="278">
        <f t="shared" si="1"/>
        <v>0</v>
      </c>
      <c r="S21" s="280"/>
      <c r="T21" s="5"/>
      <c r="U21" s="326">
        <f>+V21+W21</f>
        <v>802.83185840707961</v>
      </c>
      <c r="V21" s="256">
        <f>+V20*W21/W20</f>
        <v>82.83185840707965</v>
      </c>
      <c r="W21" s="261">
        <v>720</v>
      </c>
      <c r="X21" s="36" t="s">
        <v>350</v>
      </c>
      <c r="Z21" s="282">
        <f t="shared" si="2"/>
        <v>43677</v>
      </c>
      <c r="AA21" s="318"/>
      <c r="AB21" s="281"/>
      <c r="AC21" s="33" t="s">
        <v>153</v>
      </c>
    </row>
    <row r="22" spans="1:29">
      <c r="A22" s="215"/>
      <c r="H22" s="142"/>
      <c r="I22" s="25" t="s">
        <v>4</v>
      </c>
      <c r="J22" s="81" t="s">
        <v>111</v>
      </c>
      <c r="K22" s="228"/>
      <c r="L22" s="227">
        <v>0</v>
      </c>
      <c r="M22" s="164"/>
      <c r="N22" s="163">
        <f>+M22*3</f>
        <v>0</v>
      </c>
      <c r="O22" s="28">
        <v>34</v>
      </c>
      <c r="P22" s="75">
        <f t="shared" si="0"/>
        <v>150</v>
      </c>
      <c r="Q22" s="218"/>
      <c r="R22" s="11">
        <f t="shared" si="1"/>
        <v>150</v>
      </c>
      <c r="S22" s="107"/>
      <c r="T22" s="5"/>
      <c r="U22" s="32">
        <f>+U20-U21</f>
        <v>97.168141592920392</v>
      </c>
      <c r="V22" s="47"/>
      <c r="W22" s="33"/>
      <c r="X22" s="262" t="s">
        <v>59</v>
      </c>
      <c r="Z22" s="282">
        <f t="shared" si="2"/>
        <v>43678</v>
      </c>
      <c r="AA22" s="318"/>
      <c r="AB22" s="281"/>
      <c r="AC22" s="33" t="s">
        <v>154</v>
      </c>
    </row>
    <row r="23" spans="1:29">
      <c r="A23" s="215"/>
      <c r="H23" s="142"/>
      <c r="I23" s="25" t="s">
        <v>9</v>
      </c>
      <c r="J23" s="81" t="s">
        <v>128</v>
      </c>
      <c r="K23" s="228"/>
      <c r="L23" s="227">
        <v>0</v>
      </c>
      <c r="M23" s="164"/>
      <c r="N23" s="163">
        <f>+M23*3</f>
        <v>0</v>
      </c>
      <c r="O23" s="28">
        <v>22</v>
      </c>
      <c r="P23" s="75">
        <f t="shared" si="0"/>
        <v>132</v>
      </c>
      <c r="Q23" s="218"/>
      <c r="R23" s="11">
        <f t="shared" si="1"/>
        <v>132</v>
      </c>
      <c r="S23" s="107"/>
      <c r="T23" s="5"/>
      <c r="U23" s="34">
        <v>150</v>
      </c>
      <c r="V23" s="38">
        <f>+U23-U22</f>
        <v>52.831858407079608</v>
      </c>
      <c r="W23" s="39" t="s">
        <v>63</v>
      </c>
      <c r="X23" s="263">
        <f>150-V23</f>
        <v>97.168141592920392</v>
      </c>
      <c r="Z23" s="282">
        <f t="shared" si="2"/>
        <v>43679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164"/>
      <c r="N24" s="163">
        <v>0</v>
      </c>
      <c r="O24" s="28">
        <v>31</v>
      </c>
      <c r="P24" s="11">
        <f t="shared" si="0"/>
        <v>150</v>
      </c>
      <c r="Q24" s="218"/>
      <c r="R24" s="11">
        <f t="shared" si="1"/>
        <v>150</v>
      </c>
      <c r="S24" s="241"/>
      <c r="T24" s="5"/>
      <c r="U24" s="10"/>
      <c r="X24" s="37"/>
      <c r="Z24" s="282">
        <f t="shared" si="2"/>
        <v>43680</v>
      </c>
      <c r="AA24" s="318"/>
      <c r="AB24" s="281"/>
      <c r="AC24" s="61"/>
    </row>
    <row r="25" spans="1:29">
      <c r="H25" s="251" t="s">
        <v>50</v>
      </c>
      <c r="I25" s="275" t="s">
        <v>328</v>
      </c>
      <c r="J25" s="276" t="s">
        <v>329</v>
      </c>
      <c r="K25" s="277"/>
      <c r="L25" s="278">
        <v>0</v>
      </c>
      <c r="M25" s="277"/>
      <c r="N25" s="278">
        <v>0</v>
      </c>
      <c r="O25" s="277">
        <v>24</v>
      </c>
      <c r="P25" s="278">
        <f t="shared" si="0"/>
        <v>144</v>
      </c>
      <c r="Q25" s="279"/>
      <c r="R25" s="278">
        <f t="shared" si="1"/>
        <v>144</v>
      </c>
      <c r="S25" s="280"/>
      <c r="T25" s="5"/>
      <c r="Z25" s="282">
        <f t="shared" si="2"/>
        <v>43681</v>
      </c>
      <c r="AA25" s="318"/>
      <c r="AB25" s="281"/>
      <c r="AC25" s="61"/>
    </row>
    <row r="26" spans="1:29">
      <c r="A26" s="237"/>
      <c r="B26" s="237"/>
      <c r="C26" s="237"/>
      <c r="D26" s="238"/>
      <c r="E26" s="237"/>
      <c r="F26" s="239"/>
      <c r="G26" s="237"/>
      <c r="H26" s="142"/>
      <c r="I26" s="25" t="s">
        <v>51</v>
      </c>
      <c r="J26" s="96" t="s">
        <v>134</v>
      </c>
      <c r="K26" s="29"/>
      <c r="L26" s="27">
        <f>+K26*3</f>
        <v>0</v>
      </c>
      <c r="M26" s="164"/>
      <c r="N26" s="163">
        <f>+M26*3</f>
        <v>0</v>
      </c>
      <c r="O26" s="28">
        <v>31</v>
      </c>
      <c r="P26" s="11">
        <f t="shared" si="0"/>
        <v>150</v>
      </c>
      <c r="Q26" s="218"/>
      <c r="R26" s="240">
        <f t="shared" si="1"/>
        <v>150</v>
      </c>
      <c r="S26" s="241"/>
      <c r="T26" s="5"/>
      <c r="U26" s="287" t="s">
        <v>347</v>
      </c>
      <c r="Z26" s="282">
        <f t="shared" si="2"/>
        <v>43682</v>
      </c>
      <c r="AA26" s="318"/>
      <c r="AB26" s="281"/>
      <c r="AC26" s="65"/>
    </row>
    <row r="27" spans="1:29">
      <c r="A27" s="215"/>
      <c r="H27" s="83"/>
      <c r="I27" s="126" t="s">
        <v>61</v>
      </c>
      <c r="J27" s="80" t="s">
        <v>137</v>
      </c>
      <c r="K27" s="226"/>
      <c r="L27" s="227">
        <f>3*K27</f>
        <v>0</v>
      </c>
      <c r="M27" s="162"/>
      <c r="N27" s="163">
        <f>3*M27</f>
        <v>0</v>
      </c>
      <c r="O27" s="72"/>
      <c r="P27" s="75">
        <f t="shared" si="0"/>
        <v>0</v>
      </c>
      <c r="Q27" s="217"/>
      <c r="R27" s="11">
        <f t="shared" si="1"/>
        <v>0</v>
      </c>
      <c r="S27" s="106"/>
      <c r="T27" s="5"/>
      <c r="Z27" s="282">
        <f t="shared" si="2"/>
        <v>43683</v>
      </c>
      <c r="AA27" s="319"/>
      <c r="AB27" s="281"/>
      <c r="AC27" s="66"/>
    </row>
    <row r="28" spans="1:29">
      <c r="A28" s="215"/>
      <c r="H28" s="242" t="s">
        <v>227</v>
      </c>
      <c r="I28" s="188" t="s">
        <v>14</v>
      </c>
      <c r="J28" s="189" t="s">
        <v>125</v>
      </c>
      <c r="K28" s="192"/>
      <c r="L28" s="193">
        <f>+K28*3</f>
        <v>0</v>
      </c>
      <c r="M28" s="192"/>
      <c r="N28" s="193">
        <f>3*M28</f>
        <v>0</v>
      </c>
      <c r="O28" s="192">
        <v>1</v>
      </c>
      <c r="P28" s="193">
        <f t="shared" si="0"/>
        <v>6</v>
      </c>
      <c r="Q28" s="221"/>
      <c r="R28" s="329">
        <f t="shared" si="1"/>
        <v>6</v>
      </c>
      <c r="S28" s="107"/>
      <c r="T28" s="5"/>
      <c r="Z28" s="314" t="s">
        <v>150</v>
      </c>
      <c r="AA28" s="315">
        <f>SUM(AA17:AA27)</f>
        <v>4</v>
      </c>
      <c r="AB28" s="316" t="s">
        <v>148</v>
      </c>
      <c r="AC28" s="68"/>
    </row>
    <row r="29" spans="1:29">
      <c r="A29" s="215"/>
      <c r="H29" s="83"/>
      <c r="I29" s="126" t="s">
        <v>79</v>
      </c>
      <c r="J29" s="82" t="s">
        <v>110</v>
      </c>
      <c r="K29" s="228"/>
      <c r="L29" s="227">
        <v>0</v>
      </c>
      <c r="M29" s="164"/>
      <c r="N29" s="163">
        <v>0</v>
      </c>
      <c r="O29" s="76">
        <v>39</v>
      </c>
      <c r="P29" s="75">
        <f t="shared" si="0"/>
        <v>150</v>
      </c>
      <c r="Q29" s="217"/>
      <c r="R29" s="11">
        <f t="shared" si="1"/>
        <v>150</v>
      </c>
      <c r="S29" s="106"/>
      <c r="T29" s="5"/>
      <c r="Z29" s="184"/>
      <c r="AA29" s="171">
        <f>SUM(AB17:AB27)</f>
        <v>15</v>
      </c>
      <c r="AB29" s="185" t="s">
        <v>149</v>
      </c>
      <c r="AC29" s="69"/>
    </row>
    <row r="30" spans="1:29" ht="16.5">
      <c r="H30" s="83"/>
      <c r="I30" s="269" t="s">
        <v>214</v>
      </c>
      <c r="J30" s="270" t="s">
        <v>215</v>
      </c>
      <c r="K30" s="271"/>
      <c r="L30" s="272">
        <v>0</v>
      </c>
      <c r="M30" s="271"/>
      <c r="N30" s="272">
        <f>3*M30</f>
        <v>0</v>
      </c>
      <c r="O30" s="271">
        <v>19</v>
      </c>
      <c r="P30" s="272">
        <f t="shared" si="0"/>
        <v>114</v>
      </c>
      <c r="Q30" s="273"/>
      <c r="R30" s="272">
        <f t="shared" si="1"/>
        <v>114</v>
      </c>
      <c r="S30" s="274"/>
      <c r="T30" s="5"/>
      <c r="Z30" s="186" t="s">
        <v>160</v>
      </c>
      <c r="AA30" s="284">
        <f>+AA29/AA28</f>
        <v>3.75</v>
      </c>
      <c r="AB30" s="173" t="s">
        <v>150</v>
      </c>
      <c r="AC30" s="65"/>
    </row>
    <row r="31" spans="1:29">
      <c r="A31" s="237"/>
      <c r="B31" s="237"/>
      <c r="C31" s="237"/>
      <c r="D31" s="238"/>
      <c r="E31" s="237"/>
      <c r="F31" s="239"/>
      <c r="G31" s="237"/>
      <c r="H31" s="142"/>
      <c r="I31" s="25" t="s">
        <v>45</v>
      </c>
      <c r="J31" s="96" t="s">
        <v>133</v>
      </c>
      <c r="K31" s="29"/>
      <c r="L31" s="27">
        <f>+K31*3</f>
        <v>0</v>
      </c>
      <c r="M31" s="164"/>
      <c r="N31" s="163">
        <f>+M31*3</f>
        <v>0</v>
      </c>
      <c r="O31" s="28">
        <v>30</v>
      </c>
      <c r="P31" s="11">
        <f t="shared" si="0"/>
        <v>150</v>
      </c>
      <c r="Q31" s="218"/>
      <c r="R31" s="240">
        <f t="shared" si="1"/>
        <v>150</v>
      </c>
      <c r="S31" s="241"/>
      <c r="T31" s="5"/>
    </row>
    <row r="32" spans="1:29">
      <c r="A32" s="215"/>
      <c r="H32" s="142"/>
      <c r="I32" s="25" t="s">
        <v>13</v>
      </c>
      <c r="J32" s="81" t="s">
        <v>319</v>
      </c>
      <c r="K32" s="228"/>
      <c r="L32" s="227">
        <f>3*K32</f>
        <v>0</v>
      </c>
      <c r="M32" s="164"/>
      <c r="N32" s="163">
        <v>0</v>
      </c>
      <c r="O32" s="28"/>
      <c r="P32" s="75">
        <f t="shared" si="0"/>
        <v>0</v>
      </c>
      <c r="Q32" s="218"/>
      <c r="R32" s="57">
        <f t="shared" si="1"/>
        <v>0</v>
      </c>
      <c r="S32" s="107"/>
      <c r="T32" s="5"/>
    </row>
    <row r="33" spans="1:32">
      <c r="A33" s="215"/>
      <c r="H33" s="95"/>
      <c r="I33" s="25" t="s">
        <v>31</v>
      </c>
      <c r="J33" s="81" t="s">
        <v>127</v>
      </c>
      <c r="K33" s="228"/>
      <c r="L33" s="227">
        <v>0</v>
      </c>
      <c r="M33" s="164"/>
      <c r="N33" s="163">
        <v>0</v>
      </c>
      <c r="O33" s="28">
        <v>35</v>
      </c>
      <c r="P33" s="75">
        <f t="shared" si="0"/>
        <v>150</v>
      </c>
      <c r="Q33" s="218"/>
      <c r="R33" s="11">
        <f t="shared" si="1"/>
        <v>150</v>
      </c>
      <c r="S33" s="107"/>
      <c r="T33" s="5"/>
    </row>
    <row r="34" spans="1:32" s="4" customFormat="1">
      <c r="A34" s="215"/>
      <c r="B34"/>
      <c r="C34"/>
      <c r="D34" s="1"/>
      <c r="E34"/>
      <c r="F34" s="2"/>
      <c r="G34"/>
      <c r="H34" s="95"/>
      <c r="I34" s="25" t="s">
        <v>30</v>
      </c>
      <c r="J34" s="81" t="s">
        <v>126</v>
      </c>
      <c r="K34" s="228"/>
      <c r="L34" s="227">
        <f>+K34*3</f>
        <v>0</v>
      </c>
      <c r="M34" s="164"/>
      <c r="N34" s="163">
        <f>+M34*3</f>
        <v>0</v>
      </c>
      <c r="O34" s="28"/>
      <c r="P34" s="75">
        <f t="shared" si="0"/>
        <v>0</v>
      </c>
      <c r="Q34" s="218"/>
      <c r="R34" s="320">
        <f t="shared" si="1"/>
        <v>0</v>
      </c>
      <c r="S34" s="107"/>
      <c r="T34" s="5"/>
      <c r="U34"/>
      <c r="V34" s="46"/>
      <c r="W34"/>
      <c r="X34"/>
      <c r="Y34"/>
      <c r="Z34"/>
      <c r="AA34"/>
      <c r="AB34"/>
      <c r="AC34"/>
      <c r="AD34"/>
      <c r="AE34"/>
      <c r="AF34"/>
    </row>
    <row r="35" spans="1:32">
      <c r="A35" s="215"/>
      <c r="H35" s="83"/>
      <c r="I35" s="269" t="s">
        <v>186</v>
      </c>
      <c r="J35" s="270" t="s">
        <v>187</v>
      </c>
      <c r="K35" s="271"/>
      <c r="L35" s="272">
        <v>0</v>
      </c>
      <c r="M35" s="271"/>
      <c r="N35" s="272">
        <v>0</v>
      </c>
      <c r="O35" s="271"/>
      <c r="P35" s="272">
        <f t="shared" si="0"/>
        <v>0</v>
      </c>
      <c r="Q35" s="273"/>
      <c r="R35" s="272">
        <f t="shared" si="1"/>
        <v>0</v>
      </c>
      <c r="S35" s="274"/>
      <c r="T35" s="5"/>
    </row>
    <row r="36" spans="1:32">
      <c r="A36" s="215"/>
      <c r="H36" s="83"/>
      <c r="I36" s="25" t="s">
        <v>17</v>
      </c>
      <c r="J36" s="81" t="s">
        <v>123</v>
      </c>
      <c r="K36" s="228"/>
      <c r="L36" s="227">
        <f>+K36*3</f>
        <v>0</v>
      </c>
      <c r="M36" s="164"/>
      <c r="N36" s="163">
        <v>0</v>
      </c>
      <c r="O36" s="74">
        <v>25</v>
      </c>
      <c r="P36" s="75">
        <f t="shared" si="0"/>
        <v>150</v>
      </c>
      <c r="Q36" s="218"/>
      <c r="R36" s="11">
        <f t="shared" si="1"/>
        <v>150</v>
      </c>
      <c r="S36" s="107"/>
      <c r="T36" s="5"/>
    </row>
    <row r="37" spans="1:32">
      <c r="A37" s="215"/>
      <c r="H37" s="83"/>
      <c r="I37" s="25" t="s">
        <v>60</v>
      </c>
      <c r="J37" s="81" t="s">
        <v>132</v>
      </c>
      <c r="K37" s="228"/>
      <c r="L37" s="227">
        <v>0</v>
      </c>
      <c r="M37" s="164"/>
      <c r="N37" s="163">
        <v>0</v>
      </c>
      <c r="O37" s="74"/>
      <c r="P37" s="75">
        <f>IF(O37&gt;25,150,(O37)*6)</f>
        <v>0</v>
      </c>
      <c r="Q37" s="218"/>
      <c r="R37" s="11">
        <f>+L37+N37+P37+Q37</f>
        <v>0</v>
      </c>
      <c r="S37" s="107"/>
      <c r="T37" s="5"/>
    </row>
    <row r="38" spans="1:32">
      <c r="H38" s="142"/>
      <c r="I38" s="25" t="s">
        <v>233</v>
      </c>
      <c r="J38" s="81" t="s">
        <v>234</v>
      </c>
      <c r="K38" s="228"/>
      <c r="L38" s="227">
        <v>0</v>
      </c>
      <c r="M38" s="164"/>
      <c r="N38" s="163">
        <f>3*M38</f>
        <v>0</v>
      </c>
      <c r="O38" s="28"/>
      <c r="P38" s="75">
        <f t="shared" si="0"/>
        <v>0</v>
      </c>
      <c r="Q38" s="218"/>
      <c r="R38" s="57">
        <f t="shared" si="1"/>
        <v>0</v>
      </c>
      <c r="S38" s="107"/>
      <c r="T38" s="5"/>
      <c r="AF38" s="4"/>
    </row>
    <row r="39" spans="1:32">
      <c r="A39" s="215"/>
      <c r="H39" s="242" t="s">
        <v>227</v>
      </c>
      <c r="I39" s="188" t="s">
        <v>8</v>
      </c>
      <c r="J39" s="189" t="s">
        <v>120</v>
      </c>
      <c r="K39" s="192"/>
      <c r="L39" s="193">
        <v>0</v>
      </c>
      <c r="M39" s="192"/>
      <c r="N39" s="193">
        <v>0</v>
      </c>
      <c r="O39" s="192">
        <v>4</v>
      </c>
      <c r="P39" s="193">
        <f t="shared" si="0"/>
        <v>24</v>
      </c>
      <c r="Q39" s="221"/>
      <c r="R39" s="329">
        <f t="shared" si="1"/>
        <v>24</v>
      </c>
      <c r="S39" s="107"/>
      <c r="T39" s="5"/>
    </row>
    <row r="40" spans="1:32">
      <c r="A40" s="215"/>
      <c r="H40" s="83"/>
      <c r="I40" s="25" t="s">
        <v>11</v>
      </c>
      <c r="J40" s="96" t="s">
        <v>130</v>
      </c>
      <c r="K40" s="228"/>
      <c r="L40" s="227">
        <f>+K40*3</f>
        <v>0</v>
      </c>
      <c r="M40" s="164"/>
      <c r="N40" s="163">
        <f>+M40*3</f>
        <v>0</v>
      </c>
      <c r="O40" s="74">
        <v>35</v>
      </c>
      <c r="P40" s="75">
        <f t="shared" si="0"/>
        <v>150</v>
      </c>
      <c r="Q40" s="220"/>
      <c r="R40" s="11">
        <f t="shared" si="1"/>
        <v>150</v>
      </c>
      <c r="S40" s="107"/>
      <c r="T40" s="5"/>
    </row>
    <row r="41" spans="1:32">
      <c r="H41" s="83"/>
      <c r="I41" s="25" t="s">
        <v>44</v>
      </c>
      <c r="J41" s="96" t="s">
        <v>124</v>
      </c>
      <c r="K41" s="228"/>
      <c r="L41" s="227">
        <f>+K41*3</f>
        <v>0</v>
      </c>
      <c r="M41" s="164"/>
      <c r="N41" s="163">
        <f>+M41*3</f>
        <v>0</v>
      </c>
      <c r="O41" s="113"/>
      <c r="P41" s="75">
        <f t="shared" si="0"/>
        <v>0</v>
      </c>
      <c r="Q41" s="218"/>
      <c r="R41" s="11">
        <f t="shared" si="1"/>
        <v>0</v>
      </c>
      <c r="S41" s="107"/>
      <c r="T41" s="5"/>
    </row>
    <row r="42" spans="1:32">
      <c r="H42" s="83"/>
      <c r="I42" s="25" t="s">
        <v>6</v>
      </c>
      <c r="J42" s="96" t="s">
        <v>116</v>
      </c>
      <c r="K42" s="228"/>
      <c r="L42" s="227">
        <f>+K42*3</f>
        <v>0</v>
      </c>
      <c r="M42" s="164"/>
      <c r="N42" s="163">
        <f>+M42*3</f>
        <v>0</v>
      </c>
      <c r="O42" s="74">
        <v>24</v>
      </c>
      <c r="P42" s="75">
        <f t="shared" si="0"/>
        <v>144</v>
      </c>
      <c r="Q42" s="220"/>
      <c r="R42" s="11">
        <f t="shared" si="1"/>
        <v>144</v>
      </c>
      <c r="S42" s="107"/>
      <c r="T42" s="5"/>
    </row>
    <row r="43" spans="1:32">
      <c r="H43" s="95"/>
      <c r="I43" s="25" t="s">
        <v>53</v>
      </c>
      <c r="J43" s="81" t="s">
        <v>135</v>
      </c>
      <c r="K43" s="228"/>
      <c r="L43" s="227">
        <v>0</v>
      </c>
      <c r="M43" s="164"/>
      <c r="N43" s="163">
        <v>0</v>
      </c>
      <c r="O43" s="28">
        <v>29</v>
      </c>
      <c r="P43" s="75">
        <f t="shared" si="0"/>
        <v>150</v>
      </c>
      <c r="Q43" s="218"/>
      <c r="R43" s="11">
        <f t="shared" si="1"/>
        <v>150</v>
      </c>
      <c r="S43" s="107"/>
      <c r="T43" s="5"/>
    </row>
    <row r="44" spans="1:32">
      <c r="H44" s="81"/>
      <c r="I44" s="120" t="s">
        <v>12</v>
      </c>
      <c r="J44" s="150" t="s">
        <v>114</v>
      </c>
      <c r="K44" s="232"/>
      <c r="L44" s="233">
        <v>0</v>
      </c>
      <c r="M44" s="165"/>
      <c r="N44" s="166">
        <f>3*M44</f>
        <v>0</v>
      </c>
      <c r="O44" s="122">
        <v>34</v>
      </c>
      <c r="P44" s="147">
        <f t="shared" si="0"/>
        <v>150</v>
      </c>
      <c r="Q44" s="222"/>
      <c r="R44" s="124">
        <f t="shared" si="1"/>
        <v>150</v>
      </c>
      <c r="S44" s="148"/>
      <c r="T44" s="5"/>
    </row>
    <row r="45" spans="1:32">
      <c r="I45" s="13"/>
      <c r="J45" s="14"/>
      <c r="K45" s="234">
        <f t="shared" ref="K45:S45" si="3">SUM(K5:K44)</f>
        <v>0</v>
      </c>
      <c r="L45" s="235">
        <f t="shared" si="3"/>
        <v>0</v>
      </c>
      <c r="M45" s="167">
        <f t="shared" si="3"/>
        <v>0</v>
      </c>
      <c r="N45" s="168">
        <f t="shared" si="3"/>
        <v>0</v>
      </c>
      <c r="O45" s="77">
        <f t="shared" si="3"/>
        <v>634</v>
      </c>
      <c r="P45" s="78">
        <f t="shared" si="3"/>
        <v>2964</v>
      </c>
      <c r="Q45" s="323">
        <f t="shared" si="3"/>
        <v>0</v>
      </c>
      <c r="R45" s="78">
        <f t="shared" si="3"/>
        <v>2964</v>
      </c>
      <c r="S45" s="102">
        <f t="shared" si="3"/>
        <v>0</v>
      </c>
      <c r="T45" s="5"/>
    </row>
    <row r="46" spans="1:32">
      <c r="J46" s="200">
        <f ca="1">TODAY()</f>
        <v>43825</v>
      </c>
      <c r="K46" s="41"/>
      <c r="M46" s="42"/>
      <c r="N46" s="41"/>
      <c r="O46" s="45" t="s">
        <v>81</v>
      </c>
      <c r="Q46" s="42"/>
      <c r="R46" s="45">
        <f>+R11+R15+R21+R25+R28+R39</f>
        <v>324</v>
      </c>
      <c r="T46" s="5"/>
      <c r="AC46">
        <v>4</v>
      </c>
    </row>
    <row r="47" spans="1:32" ht="15" customHeight="1">
      <c r="L47" s="43"/>
      <c r="M47" s="44"/>
      <c r="N47" s="125"/>
      <c r="O47" s="43" t="s">
        <v>91</v>
      </c>
      <c r="P47" s="114"/>
      <c r="Q47" s="110" t="s">
        <v>58</v>
      </c>
      <c r="R47" s="111">
        <f>+R45-R46</f>
        <v>2640</v>
      </c>
      <c r="S47" s="10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30" t="s">
        <v>351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31" t="s">
        <v>352</v>
      </c>
      <c r="P50" s="19"/>
      <c r="T50" s="5"/>
    </row>
    <row r="51" spans="9:29">
      <c r="I51" s="330" t="s">
        <v>370</v>
      </c>
      <c r="P51" s="19"/>
      <c r="T51" s="5"/>
    </row>
    <row r="52" spans="9:29">
      <c r="I52" s="330" t="s">
        <v>371</v>
      </c>
      <c r="P52" s="19"/>
      <c r="T52" s="5"/>
      <c r="V52" s="59"/>
      <c r="W52" s="60"/>
      <c r="X52" s="61"/>
    </row>
    <row r="53" spans="9:29">
      <c r="I53" s="330" t="s">
        <v>372</v>
      </c>
      <c r="P53" s="19"/>
      <c r="T53" s="5"/>
      <c r="U53" s="58"/>
      <c r="V53" s="59"/>
      <c r="W53" s="60"/>
      <c r="X53" s="61"/>
    </row>
    <row r="54" spans="9:29">
      <c r="I54" s="330" t="s">
        <v>373</v>
      </c>
      <c r="U54" s="58"/>
      <c r="V54" s="59"/>
      <c r="W54" s="62"/>
      <c r="X54" s="65"/>
    </row>
    <row r="55" spans="9:29">
      <c r="I55" s="330" t="s">
        <v>374</v>
      </c>
      <c r="U55" s="58"/>
      <c r="V55" s="59"/>
      <c r="W55" s="67"/>
      <c r="X55" s="60"/>
    </row>
    <row r="56" spans="9:29">
      <c r="I56" s="330" t="s">
        <v>355</v>
      </c>
      <c r="U56" s="58"/>
      <c r="V56" s="59"/>
      <c r="W56" s="60"/>
      <c r="X56" s="60"/>
    </row>
    <row r="57" spans="9:29">
      <c r="U57" s="58"/>
      <c r="V57" s="59"/>
      <c r="W57" s="60"/>
      <c r="X57" s="68"/>
    </row>
    <row r="58" spans="9:29">
      <c r="U58" s="58"/>
      <c r="V58" s="59"/>
      <c r="W58" s="60"/>
      <c r="X58" s="69"/>
    </row>
    <row r="59" spans="9:29">
      <c r="U59" s="58"/>
      <c r="V59" s="59"/>
      <c r="W59" s="60"/>
      <c r="X59" s="60"/>
    </row>
    <row r="60" spans="9:29">
      <c r="U60" s="58"/>
      <c r="V60" s="59"/>
      <c r="W60" s="60"/>
      <c r="X60" s="60"/>
    </row>
    <row r="61" spans="9:29">
      <c r="U61" s="58"/>
      <c r="V61" s="59"/>
      <c r="W61" s="62"/>
      <c r="X61" s="60"/>
    </row>
    <row r="62" spans="9:29">
      <c r="U62" s="58"/>
      <c r="V62" s="59"/>
      <c r="W62" s="62"/>
      <c r="X62" s="60"/>
    </row>
    <row r="63" spans="9:29">
      <c r="U63" s="64"/>
      <c r="V63" s="59"/>
      <c r="W63" s="60"/>
      <c r="X63" s="60"/>
    </row>
    <row r="64" spans="9:29">
      <c r="U64" s="58"/>
      <c r="V64" s="66"/>
      <c r="W64" s="67"/>
      <c r="X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  <row r="68" spans="21:23">
      <c r="U68" s="60"/>
      <c r="V68" s="59"/>
      <c r="W68" s="60"/>
    </row>
    <row r="69" spans="21:23">
      <c r="U69" s="60"/>
      <c r="V69" s="59"/>
      <c r="W69" s="60"/>
    </row>
    <row r="70" spans="21:23">
      <c r="U70" s="60"/>
      <c r="V70" s="59"/>
      <c r="W70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78" priority="2" operator="lessThanOrEqual">
      <formula>0</formula>
    </cfRule>
  </conditionalFormatting>
  <conditionalFormatting sqref="R5:R44">
    <cfRule type="cellIs" dxfId="77" priority="1" operator="greaterThan">
      <formula>0</formula>
    </cfRule>
  </conditionalFormatting>
  <printOptions horizontalCentered="1"/>
  <pageMargins left="0" right="0" top="0.47244094488188981" bottom="0" header="0" footer="0"/>
  <pageSetup paperSize="9" orientation="portrait" r:id="rId1"/>
  <ignoredErrors>
    <ignoredError sqref="L18:N29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58"/>
  <sheetViews>
    <sheetView zoomScale="85" zoomScaleNormal="85" workbookViewId="0">
      <pane xSplit="10" ySplit="3" topLeftCell="K4" activePane="bottomRight" state="frozen"/>
      <selection pane="topRight" activeCell="K1" sqref="K1"/>
      <selection pane="bottomLeft" activeCell="A5" sqref="A5"/>
      <selection pane="bottomRight" activeCell="K4" sqref="K4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6.28515625" customWidth="1"/>
    <col min="9" max="9" width="7.42578125" customWidth="1"/>
    <col min="10" max="10" width="28.7109375" customWidth="1"/>
    <col min="11" max="14" width="4.7109375" customWidth="1"/>
    <col min="15" max="15" width="6.7109375" customWidth="1"/>
    <col min="16" max="16" width="9.7109375" customWidth="1"/>
    <col min="17" max="17" width="4.42578125" customWidth="1"/>
    <col min="18" max="18" width="11.5703125" customWidth="1"/>
    <col min="19" max="19" width="8.140625" style="103" bestFit="1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 ht="14.1" customHeight="1">
      <c r="H2" s="83"/>
      <c r="I2" s="429" t="s">
        <v>522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430">
        <f ca="1">+TODAY()</f>
        <v>43825</v>
      </c>
      <c r="U2" s="431"/>
      <c r="V2" s="431"/>
    </row>
    <row r="3" spans="8:29" ht="36.950000000000003" customHeight="1">
      <c r="H3" s="83" t="s">
        <v>143</v>
      </c>
      <c r="I3" s="268" t="s">
        <v>249</v>
      </c>
      <c r="J3" s="267" t="s">
        <v>248</v>
      </c>
      <c r="K3" s="394" t="s">
        <v>15</v>
      </c>
      <c r="L3" s="395" t="s">
        <v>519</v>
      </c>
      <c r="M3" s="198" t="s">
        <v>15</v>
      </c>
      <c r="N3" s="285" t="s">
        <v>520</v>
      </c>
      <c r="O3" s="391" t="s">
        <v>15</v>
      </c>
      <c r="P3" s="392" t="s">
        <v>521</v>
      </c>
      <c r="Q3" s="393" t="s">
        <v>511</v>
      </c>
      <c r="R3" s="88" t="s">
        <v>103</v>
      </c>
      <c r="S3" s="388" t="s">
        <v>507</v>
      </c>
      <c r="T3" s="89"/>
      <c r="U3" s="83"/>
      <c r="V3" s="83"/>
    </row>
    <row r="4" spans="8:29">
      <c r="H4" s="83"/>
      <c r="I4" s="126" t="s">
        <v>5</v>
      </c>
      <c r="J4" s="80" t="s">
        <v>117</v>
      </c>
      <c r="K4" s="396"/>
      <c r="L4" s="397">
        <v>0</v>
      </c>
      <c r="M4" s="162"/>
      <c r="N4" s="163">
        <f>5*M4</f>
        <v>0</v>
      </c>
      <c r="O4" s="76">
        <v>33</v>
      </c>
      <c r="P4" s="75">
        <f t="shared" ref="P4:P42" si="0">IF(O4&gt;25,150,(O4)*6)</f>
        <v>150</v>
      </c>
      <c r="Q4" s="217"/>
      <c r="R4" s="11">
        <f t="shared" ref="R4:R42" si="1">+L4+N4+P4+Q4</f>
        <v>150</v>
      </c>
      <c r="S4" s="106"/>
      <c r="T4" s="5"/>
      <c r="U4" s="258">
        <v>815.2</v>
      </c>
      <c r="V4" s="259">
        <v>94</v>
      </c>
      <c r="W4" s="260">
        <v>721.2</v>
      </c>
      <c r="X4" s="333" t="s">
        <v>215</v>
      </c>
      <c r="Y4" s="266"/>
    </row>
    <row r="5" spans="8:29">
      <c r="H5" s="95"/>
      <c r="I5" s="25" t="s">
        <v>64</v>
      </c>
      <c r="J5" s="81" t="s">
        <v>138</v>
      </c>
      <c r="K5" s="398"/>
      <c r="L5" s="397">
        <f>+K5*3</f>
        <v>0</v>
      </c>
      <c r="M5" s="164"/>
      <c r="N5" s="163">
        <v>0</v>
      </c>
      <c r="O5" s="28">
        <v>35</v>
      </c>
      <c r="P5" s="75">
        <f t="shared" si="0"/>
        <v>150</v>
      </c>
      <c r="Q5" s="218"/>
      <c r="R5" s="11">
        <f t="shared" si="1"/>
        <v>150</v>
      </c>
      <c r="S5" s="107"/>
      <c r="T5" s="5"/>
      <c r="U5" s="326">
        <f>+V5+W5</f>
        <v>813.84359400998335</v>
      </c>
      <c r="V5" s="256">
        <f>+V4*W5/W4</f>
        <v>93.843594009983349</v>
      </c>
      <c r="W5" s="261">
        <v>720</v>
      </c>
      <c r="X5" s="334" t="s">
        <v>381</v>
      </c>
    </row>
    <row r="6" spans="8:29">
      <c r="H6" s="142"/>
      <c r="I6" s="390" t="s">
        <v>387</v>
      </c>
      <c r="J6" s="270" t="s">
        <v>388</v>
      </c>
      <c r="K6" s="398"/>
      <c r="L6" s="397">
        <v>0</v>
      </c>
      <c r="M6" s="164"/>
      <c r="N6" s="163">
        <v>0</v>
      </c>
      <c r="O6" s="271">
        <v>31</v>
      </c>
      <c r="P6" s="272">
        <f t="shared" si="0"/>
        <v>150</v>
      </c>
      <c r="Q6" s="273"/>
      <c r="R6" s="272">
        <f t="shared" si="1"/>
        <v>150</v>
      </c>
      <c r="S6" s="274"/>
      <c r="T6" s="5"/>
      <c r="U6" s="32">
        <f>+U4-U5+0.01</f>
        <v>1.3664059900166967</v>
      </c>
      <c r="V6" s="47"/>
      <c r="W6" s="33"/>
      <c r="X6" s="262" t="s">
        <v>59</v>
      </c>
    </row>
    <row r="7" spans="8:29">
      <c r="H7" s="95"/>
      <c r="I7" s="25" t="s">
        <v>2</v>
      </c>
      <c r="J7" s="81" t="s">
        <v>107</v>
      </c>
      <c r="K7" s="398"/>
      <c r="L7" s="397">
        <f>+K7*3</f>
        <v>0</v>
      </c>
      <c r="M7" s="164"/>
      <c r="N7" s="163">
        <f>+M7*3</f>
        <v>0</v>
      </c>
      <c r="O7" s="28">
        <v>32</v>
      </c>
      <c r="P7" s="75">
        <f t="shared" si="0"/>
        <v>150</v>
      </c>
      <c r="Q7" s="218"/>
      <c r="R7" s="11">
        <f t="shared" si="1"/>
        <v>150</v>
      </c>
      <c r="S7" s="107"/>
      <c r="T7" s="5"/>
      <c r="U7" s="34">
        <v>150</v>
      </c>
      <c r="V7" s="335">
        <f>+U7-U6</f>
        <v>148.63359400998331</v>
      </c>
      <c r="W7" s="39" t="s">
        <v>63</v>
      </c>
      <c r="X7" s="263">
        <f>150-V7</f>
        <v>1.3664059900166876</v>
      </c>
    </row>
    <row r="8" spans="8:29">
      <c r="H8" s="95"/>
      <c r="I8" s="25" t="s">
        <v>42</v>
      </c>
      <c r="J8" s="81" t="s">
        <v>119</v>
      </c>
      <c r="K8" s="398"/>
      <c r="L8" s="397">
        <f>+K8*3</f>
        <v>0</v>
      </c>
      <c r="M8" s="164"/>
      <c r="N8" s="163">
        <f>+M8*3</f>
        <v>0</v>
      </c>
      <c r="O8" s="28">
        <v>25</v>
      </c>
      <c r="P8" s="75">
        <f t="shared" si="0"/>
        <v>150</v>
      </c>
      <c r="Q8" s="374"/>
      <c r="R8" s="11">
        <f t="shared" si="1"/>
        <v>150</v>
      </c>
      <c r="S8" s="107"/>
      <c r="T8" s="5"/>
      <c r="X8" s="37"/>
    </row>
    <row r="9" spans="8:29" ht="15" customHeight="1">
      <c r="H9" s="251" t="s">
        <v>50</v>
      </c>
      <c r="I9" s="275" t="s">
        <v>1</v>
      </c>
      <c r="J9" s="276" t="s">
        <v>106</v>
      </c>
      <c r="K9" s="399"/>
      <c r="L9" s="400">
        <f>3*K9</f>
        <v>0</v>
      </c>
      <c r="M9" s="160"/>
      <c r="N9" s="161">
        <f>3*M9</f>
        <v>0</v>
      </c>
      <c r="O9" s="277"/>
      <c r="P9" s="278">
        <f t="shared" si="0"/>
        <v>0</v>
      </c>
      <c r="Q9" s="279"/>
      <c r="R9" s="278">
        <f t="shared" si="1"/>
        <v>0</v>
      </c>
      <c r="S9" s="280"/>
      <c r="T9" s="5"/>
      <c r="U9" s="258">
        <v>988</v>
      </c>
      <c r="V9" s="259">
        <v>118.76</v>
      </c>
      <c r="W9" s="260">
        <v>869.24</v>
      </c>
      <c r="X9" s="333" t="s">
        <v>349</v>
      </c>
      <c r="Y9" s="266"/>
    </row>
    <row r="10" spans="8:29">
      <c r="H10" s="95"/>
      <c r="I10" s="25" t="s">
        <v>56</v>
      </c>
      <c r="J10" s="81" t="s">
        <v>136</v>
      </c>
      <c r="K10" s="398"/>
      <c r="L10" s="397">
        <v>0</v>
      </c>
      <c r="M10" s="164"/>
      <c r="N10" s="163">
        <f>3*M10</f>
        <v>0</v>
      </c>
      <c r="O10" s="28">
        <v>35</v>
      </c>
      <c r="P10" s="75">
        <f t="shared" si="0"/>
        <v>150</v>
      </c>
      <c r="Q10" s="374"/>
      <c r="R10" s="11">
        <f t="shared" si="1"/>
        <v>150</v>
      </c>
      <c r="S10" s="107"/>
      <c r="T10" s="5"/>
      <c r="U10" s="326">
        <f>+V10+W10</f>
        <v>935.44245547834896</v>
      </c>
      <c r="V10" s="256">
        <f>+V9*W10/W9</f>
        <v>112.44245547834892</v>
      </c>
      <c r="W10" s="261">
        <v>823</v>
      </c>
      <c r="X10" s="334" t="s">
        <v>348</v>
      </c>
    </row>
    <row r="11" spans="8:29">
      <c r="H11" s="95"/>
      <c r="I11" s="25" t="s">
        <v>16</v>
      </c>
      <c r="J11" s="81" t="s">
        <v>113</v>
      </c>
      <c r="K11" s="398"/>
      <c r="L11" s="397">
        <v>0</v>
      </c>
      <c r="M11" s="164"/>
      <c r="N11" s="163">
        <f>3*M11</f>
        <v>0</v>
      </c>
      <c r="O11" s="28"/>
      <c r="P11" s="75">
        <f t="shared" si="0"/>
        <v>0</v>
      </c>
      <c r="Q11" s="374"/>
      <c r="R11" s="11">
        <f t="shared" si="1"/>
        <v>0</v>
      </c>
      <c r="S11" s="107"/>
      <c r="T11" s="5"/>
      <c r="U11" s="32">
        <f>+U9-U10</f>
        <v>52.557544521651039</v>
      </c>
      <c r="V11" s="47"/>
      <c r="W11" s="33"/>
      <c r="X11" s="262" t="s">
        <v>59</v>
      </c>
    </row>
    <row r="12" spans="8:29">
      <c r="H12" s="83"/>
      <c r="I12" s="25" t="s">
        <v>20</v>
      </c>
      <c r="J12" s="81" t="s">
        <v>195</v>
      </c>
      <c r="K12" s="398"/>
      <c r="L12" s="397">
        <f>+K12*3</f>
        <v>0</v>
      </c>
      <c r="M12" s="164"/>
      <c r="N12" s="163">
        <f>+M12*3</f>
        <v>0</v>
      </c>
      <c r="O12" s="74">
        <v>38</v>
      </c>
      <c r="P12" s="75">
        <f t="shared" si="0"/>
        <v>150</v>
      </c>
      <c r="Q12" s="217"/>
      <c r="R12" s="9">
        <f t="shared" si="1"/>
        <v>150</v>
      </c>
      <c r="S12" s="107"/>
      <c r="T12" s="5"/>
      <c r="U12" s="34">
        <v>150</v>
      </c>
      <c r="V12" s="38">
        <f>+U12-U11</f>
        <v>97.442455478348961</v>
      </c>
      <c r="W12" s="39" t="s">
        <v>63</v>
      </c>
      <c r="X12" s="263">
        <f>150-V12</f>
        <v>52.557544521651039</v>
      </c>
    </row>
    <row r="13" spans="8:29">
      <c r="H13" s="83"/>
      <c r="I13" s="25" t="s">
        <v>459</v>
      </c>
      <c r="J13" s="428" t="s">
        <v>460</v>
      </c>
      <c r="K13" s="398"/>
      <c r="L13" s="397">
        <v>0</v>
      </c>
      <c r="M13" s="164"/>
      <c r="N13" s="163">
        <v>0</v>
      </c>
      <c r="O13" s="74">
        <v>28</v>
      </c>
      <c r="P13" s="75">
        <f t="shared" si="0"/>
        <v>150</v>
      </c>
      <c r="Q13" s="217"/>
      <c r="R13" s="9">
        <f t="shared" si="1"/>
        <v>150</v>
      </c>
      <c r="S13" s="107"/>
      <c r="T13" s="5"/>
      <c r="U13" s="10"/>
      <c r="X13" s="37"/>
    </row>
    <row r="14" spans="8:29">
      <c r="H14" s="251" t="s">
        <v>50</v>
      </c>
      <c r="I14" s="275" t="s">
        <v>272</v>
      </c>
      <c r="J14" s="276" t="s">
        <v>271</v>
      </c>
      <c r="K14" s="399"/>
      <c r="L14" s="400">
        <v>0</v>
      </c>
      <c r="M14" s="160"/>
      <c r="N14" s="161">
        <v>0</v>
      </c>
      <c r="O14" s="277"/>
      <c r="P14" s="278">
        <f t="shared" si="0"/>
        <v>0</v>
      </c>
      <c r="Q14" s="279"/>
      <c r="R14" s="278">
        <f t="shared" si="1"/>
        <v>0</v>
      </c>
      <c r="S14" s="280"/>
      <c r="T14" s="5"/>
      <c r="U14" s="258">
        <v>880</v>
      </c>
      <c r="V14" s="259">
        <v>114.4</v>
      </c>
      <c r="W14" s="327">
        <v>765.6</v>
      </c>
      <c r="X14" s="100"/>
      <c r="Y14" s="266"/>
      <c r="Z14" s="311" t="s">
        <v>291</v>
      </c>
      <c r="AA14" s="177"/>
      <c r="AB14" s="178"/>
      <c r="AC14" s="432" t="s">
        <v>290</v>
      </c>
    </row>
    <row r="15" spans="8:29">
      <c r="H15" s="95"/>
      <c r="I15" s="25" t="s">
        <v>25</v>
      </c>
      <c r="J15" s="81" t="s">
        <v>118</v>
      </c>
      <c r="K15" s="398"/>
      <c r="L15" s="397">
        <f>+K15*3</f>
        <v>0</v>
      </c>
      <c r="M15" s="164"/>
      <c r="N15" s="163">
        <f>+M15*3</f>
        <v>0</v>
      </c>
      <c r="O15" s="28">
        <v>26</v>
      </c>
      <c r="P15" s="75">
        <f t="shared" si="0"/>
        <v>150</v>
      </c>
      <c r="Q15" s="218"/>
      <c r="R15" s="11">
        <f t="shared" si="1"/>
        <v>150</v>
      </c>
      <c r="S15" s="107"/>
      <c r="T15" s="5"/>
      <c r="U15" s="326">
        <f>+V15+W15</f>
        <v>945.97701149425291</v>
      </c>
      <c r="V15" s="256">
        <f>+V14*W15/W14</f>
        <v>122.97701149425289</v>
      </c>
      <c r="W15" s="261">
        <v>823</v>
      </c>
      <c r="X15" s="36" t="s">
        <v>350</v>
      </c>
      <c r="Z15" s="312" t="s">
        <v>292</v>
      </c>
      <c r="AA15" s="313" t="s">
        <v>293</v>
      </c>
      <c r="AB15" s="312" t="s">
        <v>277</v>
      </c>
      <c r="AC15" s="433"/>
    </row>
    <row r="16" spans="8:29">
      <c r="H16" s="95"/>
      <c r="I16" s="25" t="s">
        <v>41</v>
      </c>
      <c r="J16" s="81" t="s">
        <v>112</v>
      </c>
      <c r="K16" s="398"/>
      <c r="L16" s="397">
        <f>+K16*3</f>
        <v>0</v>
      </c>
      <c r="M16" s="164"/>
      <c r="N16" s="163">
        <f>+M16*3</f>
        <v>0</v>
      </c>
      <c r="O16" s="28">
        <v>33</v>
      </c>
      <c r="P16" s="75">
        <f t="shared" si="0"/>
        <v>150</v>
      </c>
      <c r="Q16" s="218"/>
      <c r="R16" s="11">
        <f t="shared" si="1"/>
        <v>150</v>
      </c>
      <c r="S16" s="107"/>
      <c r="T16" s="5"/>
      <c r="U16" s="32">
        <f>+U14-U15</f>
        <v>-65.977011494252906</v>
      </c>
      <c r="V16" s="47"/>
      <c r="W16" s="33"/>
      <c r="X16" s="262" t="s">
        <v>59</v>
      </c>
      <c r="Z16" s="282">
        <v>43673</v>
      </c>
      <c r="AA16" s="317">
        <v>1</v>
      </c>
      <c r="AB16" s="281">
        <v>3</v>
      </c>
      <c r="AC16" s="174" t="s">
        <v>157</v>
      </c>
    </row>
    <row r="17" spans="1:29">
      <c r="A17" s="215"/>
      <c r="H17" s="83"/>
      <c r="I17" s="126" t="s">
        <v>71</v>
      </c>
      <c r="J17" s="80" t="s">
        <v>139</v>
      </c>
      <c r="K17" s="396"/>
      <c r="L17" s="397">
        <f>5*K17</f>
        <v>0</v>
      </c>
      <c r="M17" s="162"/>
      <c r="N17" s="163">
        <f>5*M17</f>
        <v>0</v>
      </c>
      <c r="O17" s="76"/>
      <c r="P17" s="75">
        <f t="shared" si="0"/>
        <v>0</v>
      </c>
      <c r="Q17" s="218"/>
      <c r="R17" s="11">
        <f t="shared" si="1"/>
        <v>0</v>
      </c>
      <c r="S17" s="106"/>
      <c r="T17" s="5"/>
      <c r="U17" s="34">
        <v>150</v>
      </c>
      <c r="V17" s="38">
        <f>+U17-U16</f>
        <v>215.97701149425291</v>
      </c>
      <c r="W17" s="39" t="s">
        <v>63</v>
      </c>
      <c r="X17" s="263">
        <f>150-V17</f>
        <v>-65.977011494252906</v>
      </c>
      <c r="Z17" s="282">
        <f>1+Z16</f>
        <v>43674</v>
      </c>
      <c r="AA17" s="318">
        <v>1</v>
      </c>
      <c r="AB17" s="281">
        <v>5</v>
      </c>
      <c r="AC17" s="33" t="s">
        <v>156</v>
      </c>
    </row>
    <row r="18" spans="1:29">
      <c r="A18" s="215"/>
      <c r="H18" s="95"/>
      <c r="I18" s="25" t="s">
        <v>28</v>
      </c>
      <c r="J18" s="81" t="s">
        <v>122</v>
      </c>
      <c r="K18" s="398"/>
      <c r="L18" s="397">
        <f>+K18*3</f>
        <v>0</v>
      </c>
      <c r="M18" s="164"/>
      <c r="N18" s="163">
        <f>+M18*3</f>
        <v>0</v>
      </c>
      <c r="O18" s="28">
        <v>36</v>
      </c>
      <c r="P18" s="75">
        <f t="shared" si="0"/>
        <v>150</v>
      </c>
      <c r="Q18" s="218"/>
      <c r="R18" s="11">
        <f t="shared" si="1"/>
        <v>150</v>
      </c>
      <c r="S18" s="107"/>
      <c r="T18" s="5"/>
      <c r="U18" s="10"/>
      <c r="X18" s="37"/>
      <c r="Z18" s="282">
        <f t="shared" ref="Z18:Z26" si="2">1+Z17</f>
        <v>43675</v>
      </c>
      <c r="AA18" s="318">
        <v>1</v>
      </c>
      <c r="AB18" s="281">
        <v>5</v>
      </c>
      <c r="AC18" s="33" t="s">
        <v>151</v>
      </c>
    </row>
    <row r="19" spans="1:29">
      <c r="H19" s="141"/>
      <c r="I19" s="390" t="s">
        <v>270</v>
      </c>
      <c r="J19" s="270" t="s">
        <v>273</v>
      </c>
      <c r="K19" s="398"/>
      <c r="L19" s="397">
        <f>3*K19</f>
        <v>0</v>
      </c>
      <c r="M19" s="164"/>
      <c r="N19" s="163">
        <f>5*M19</f>
        <v>0</v>
      </c>
      <c r="O19" s="271"/>
      <c r="P19" s="272">
        <f t="shared" si="0"/>
        <v>0</v>
      </c>
      <c r="Q19" s="218"/>
      <c r="R19" s="272">
        <f t="shared" si="1"/>
        <v>0</v>
      </c>
      <c r="S19" s="274"/>
      <c r="T19" s="5"/>
      <c r="U19" s="258">
        <v>900</v>
      </c>
      <c r="V19" s="259">
        <f>+U19*0.13</f>
        <v>117</v>
      </c>
      <c r="W19" s="327">
        <f>+V19+U19</f>
        <v>1017</v>
      </c>
      <c r="X19" s="100"/>
      <c r="Y19" s="266"/>
      <c r="Z19" s="282">
        <f t="shared" si="2"/>
        <v>43676</v>
      </c>
      <c r="AA19" s="318">
        <v>1</v>
      </c>
      <c r="AB19" s="281">
        <v>2</v>
      </c>
      <c r="AC19" s="33" t="s">
        <v>152</v>
      </c>
    </row>
    <row r="20" spans="1:29">
      <c r="A20" s="215"/>
      <c r="H20" s="142"/>
      <c r="I20" s="25" t="s">
        <v>4</v>
      </c>
      <c r="J20" s="81" t="s">
        <v>111</v>
      </c>
      <c r="K20" s="398"/>
      <c r="L20" s="397">
        <f>3*K20</f>
        <v>0</v>
      </c>
      <c r="M20" s="164"/>
      <c r="N20" s="163">
        <v>0</v>
      </c>
      <c r="O20" s="28"/>
      <c r="P20" s="75">
        <f t="shared" si="0"/>
        <v>0</v>
      </c>
      <c r="Q20" s="218"/>
      <c r="R20" s="11">
        <f t="shared" si="1"/>
        <v>0</v>
      </c>
      <c r="S20" s="107"/>
      <c r="T20" s="5"/>
      <c r="U20" s="326">
        <f>+V20+W20</f>
        <v>802.83185840707961</v>
      </c>
      <c r="V20" s="256">
        <f>+V19*W20/W19</f>
        <v>82.83185840707965</v>
      </c>
      <c r="W20" s="261">
        <v>720</v>
      </c>
      <c r="X20" s="36" t="s">
        <v>350</v>
      </c>
      <c r="Z20" s="282">
        <f t="shared" si="2"/>
        <v>43677</v>
      </c>
      <c r="AA20" s="318"/>
      <c r="AB20" s="281"/>
      <c r="AC20" s="33" t="s">
        <v>153</v>
      </c>
    </row>
    <row r="21" spans="1:29">
      <c r="A21" s="215"/>
      <c r="H21" s="142"/>
      <c r="I21" s="25" t="s">
        <v>9</v>
      </c>
      <c r="J21" s="81" t="s">
        <v>128</v>
      </c>
      <c r="K21" s="398"/>
      <c r="L21" s="397">
        <v>0</v>
      </c>
      <c r="M21" s="164"/>
      <c r="N21" s="163">
        <v>0</v>
      </c>
      <c r="O21" s="28">
        <v>19</v>
      </c>
      <c r="P21" s="75">
        <f t="shared" si="0"/>
        <v>114</v>
      </c>
      <c r="Q21" s="218"/>
      <c r="R21" s="11">
        <f t="shared" si="1"/>
        <v>114</v>
      </c>
      <c r="S21" s="107"/>
      <c r="T21" s="5"/>
      <c r="U21" s="32">
        <f>+U19-U20</f>
        <v>97.168141592920392</v>
      </c>
      <c r="V21" s="47"/>
      <c r="W21" s="33"/>
      <c r="X21" s="262" t="s">
        <v>59</v>
      </c>
      <c r="Z21" s="282">
        <f t="shared" si="2"/>
        <v>43678</v>
      </c>
      <c r="AA21" s="318"/>
      <c r="AB21" s="281"/>
      <c r="AC21" s="33" t="s">
        <v>154</v>
      </c>
    </row>
    <row r="22" spans="1:29">
      <c r="A22" s="215"/>
      <c r="H22" s="142"/>
      <c r="I22" s="25" t="s">
        <v>236</v>
      </c>
      <c r="J22" s="96" t="s">
        <v>235</v>
      </c>
      <c r="K22" s="401"/>
      <c r="L22" s="402">
        <v>0</v>
      </c>
      <c r="M22" s="164"/>
      <c r="N22" s="163">
        <v>0</v>
      </c>
      <c r="O22" s="28"/>
      <c r="P22" s="11">
        <f t="shared" si="0"/>
        <v>0</v>
      </c>
      <c r="Q22" s="218"/>
      <c r="R22" s="11">
        <f t="shared" si="1"/>
        <v>0</v>
      </c>
      <c r="S22" s="241"/>
      <c r="T22" s="5"/>
      <c r="U22" s="34">
        <v>150</v>
      </c>
      <c r="V22" s="38">
        <f>+U22-U21</f>
        <v>52.831858407079608</v>
      </c>
      <c r="W22" s="39" t="s">
        <v>63</v>
      </c>
      <c r="X22" s="263">
        <f>150-V22</f>
        <v>97.168141592920392</v>
      </c>
      <c r="Z22" s="282">
        <f t="shared" si="2"/>
        <v>43679</v>
      </c>
      <c r="AA22" s="318"/>
      <c r="AB22" s="281"/>
      <c r="AC22" s="175" t="s">
        <v>155</v>
      </c>
    </row>
    <row r="23" spans="1:29">
      <c r="H23" s="142"/>
      <c r="I23" s="390" t="s">
        <v>328</v>
      </c>
      <c r="J23" s="270" t="s">
        <v>329</v>
      </c>
      <c r="K23" s="398"/>
      <c r="L23" s="397">
        <v>0</v>
      </c>
      <c r="M23" s="164"/>
      <c r="N23" s="163">
        <v>0</v>
      </c>
      <c r="O23" s="271">
        <v>29</v>
      </c>
      <c r="P23" s="272">
        <f t="shared" si="0"/>
        <v>150</v>
      </c>
      <c r="Q23" s="218"/>
      <c r="R23" s="272">
        <f t="shared" si="1"/>
        <v>150</v>
      </c>
      <c r="S23" s="274"/>
      <c r="T23" s="5"/>
      <c r="U23" s="10"/>
      <c r="X23" s="37"/>
      <c r="Z23" s="282">
        <f t="shared" si="2"/>
        <v>43680</v>
      </c>
      <c r="AA23" s="318"/>
      <c r="AB23" s="281"/>
      <c r="AC23" s="61"/>
    </row>
    <row r="24" spans="1:29">
      <c r="A24" s="237"/>
      <c r="B24" s="237"/>
      <c r="C24" s="237"/>
      <c r="D24" s="238"/>
      <c r="E24" s="237"/>
      <c r="F24" s="239"/>
      <c r="G24" s="237"/>
      <c r="H24" s="142"/>
      <c r="I24" s="25" t="s">
        <v>51</v>
      </c>
      <c r="J24" s="96" t="s">
        <v>134</v>
      </c>
      <c r="K24" s="401"/>
      <c r="L24" s="402">
        <f>+K24*3</f>
        <v>0</v>
      </c>
      <c r="M24" s="164"/>
      <c r="N24" s="163">
        <f>+M24*3</f>
        <v>0</v>
      </c>
      <c r="O24" s="28">
        <v>32</v>
      </c>
      <c r="P24" s="11">
        <f t="shared" si="0"/>
        <v>150</v>
      </c>
      <c r="Q24" s="218"/>
      <c r="R24" s="240">
        <f t="shared" si="1"/>
        <v>150</v>
      </c>
      <c r="S24" s="107"/>
      <c r="T24" s="5"/>
      <c r="Z24" s="282">
        <f t="shared" si="2"/>
        <v>43681</v>
      </c>
      <c r="AA24" s="318"/>
      <c r="AB24" s="281"/>
      <c r="AC24" s="61"/>
    </row>
    <row r="25" spans="1:29">
      <c r="A25" s="215"/>
      <c r="H25" s="142"/>
      <c r="I25" s="25" t="s">
        <v>61</v>
      </c>
      <c r="J25" s="96" t="s">
        <v>137</v>
      </c>
      <c r="K25" s="398"/>
      <c r="L25" s="397">
        <f>5*K25</f>
        <v>0</v>
      </c>
      <c r="M25" s="164"/>
      <c r="N25" s="163">
        <f>5*M25</f>
        <v>0</v>
      </c>
      <c r="O25" s="28"/>
      <c r="P25" s="11">
        <f t="shared" si="0"/>
        <v>0</v>
      </c>
      <c r="Q25" s="218"/>
      <c r="R25" s="361">
        <f t="shared" si="1"/>
        <v>0</v>
      </c>
      <c r="S25" s="241"/>
      <c r="T25" s="5"/>
      <c r="U25" s="332" t="s">
        <v>382</v>
      </c>
      <c r="Z25" s="282">
        <f t="shared" si="2"/>
        <v>43682</v>
      </c>
      <c r="AA25" s="318"/>
      <c r="AB25" s="281"/>
      <c r="AC25" s="65"/>
    </row>
    <row r="26" spans="1:29">
      <c r="A26" s="215"/>
      <c r="H26" s="95"/>
      <c r="I26" s="25" t="s">
        <v>14</v>
      </c>
      <c r="J26" s="81" t="s">
        <v>125</v>
      </c>
      <c r="K26" s="398"/>
      <c r="L26" s="397">
        <v>0</v>
      </c>
      <c r="M26" s="164"/>
      <c r="N26" s="163">
        <f>5*M26</f>
        <v>0</v>
      </c>
      <c r="O26" s="28"/>
      <c r="P26" s="75">
        <f t="shared" si="0"/>
        <v>0</v>
      </c>
      <c r="Q26" s="218"/>
      <c r="R26" s="11">
        <f t="shared" si="1"/>
        <v>0</v>
      </c>
      <c r="S26" s="107"/>
      <c r="T26" s="5"/>
      <c r="Z26" s="282">
        <f t="shared" si="2"/>
        <v>43683</v>
      </c>
      <c r="AA26" s="319"/>
      <c r="AB26" s="281"/>
      <c r="AC26" s="66"/>
    </row>
    <row r="27" spans="1:29">
      <c r="A27" s="215"/>
      <c r="H27" s="95"/>
      <c r="I27" s="25" t="s">
        <v>79</v>
      </c>
      <c r="J27" s="81" t="s">
        <v>110</v>
      </c>
      <c r="K27" s="398"/>
      <c r="L27" s="397">
        <v>0</v>
      </c>
      <c r="M27" s="164"/>
      <c r="N27" s="163">
        <f>3*M27</f>
        <v>0</v>
      </c>
      <c r="O27" s="28">
        <v>29</v>
      </c>
      <c r="P27" s="75">
        <f t="shared" si="0"/>
        <v>150</v>
      </c>
      <c r="Q27" s="218"/>
      <c r="R27" s="11">
        <f t="shared" si="1"/>
        <v>150</v>
      </c>
      <c r="S27" s="107"/>
      <c r="T27" s="5"/>
      <c r="U27" s="287" t="s">
        <v>347</v>
      </c>
      <c r="Z27" s="314" t="s">
        <v>150</v>
      </c>
      <c r="AA27" s="315">
        <f>SUM(AA16:AA26)</f>
        <v>4</v>
      </c>
      <c r="AB27" s="316" t="s">
        <v>148</v>
      </c>
      <c r="AC27" s="68"/>
    </row>
    <row r="28" spans="1:29">
      <c r="H28" s="83"/>
      <c r="I28" s="390" t="s">
        <v>214</v>
      </c>
      <c r="J28" s="270" t="s">
        <v>215</v>
      </c>
      <c r="K28" s="398"/>
      <c r="L28" s="397">
        <v>0</v>
      </c>
      <c r="M28" s="164"/>
      <c r="N28" s="163">
        <f>3*M28</f>
        <v>0</v>
      </c>
      <c r="O28" s="271"/>
      <c r="P28" s="272">
        <f t="shared" si="0"/>
        <v>0</v>
      </c>
      <c r="Q28" s="218"/>
      <c r="R28" s="272">
        <f t="shared" si="1"/>
        <v>0</v>
      </c>
      <c r="S28" s="274"/>
      <c r="T28" s="5"/>
      <c r="Z28" s="184"/>
      <c r="AA28" s="171">
        <f>SUM(AB16:AB26)</f>
        <v>15</v>
      </c>
      <c r="AB28" s="185" t="s">
        <v>149</v>
      </c>
      <c r="AC28" s="69"/>
    </row>
    <row r="29" spans="1:29" ht="16.5">
      <c r="A29" s="237"/>
      <c r="B29" s="237"/>
      <c r="C29" s="237"/>
      <c r="D29" s="238"/>
      <c r="E29" s="237"/>
      <c r="F29" s="239"/>
      <c r="G29" s="237"/>
      <c r="H29" s="142"/>
      <c r="I29" s="25" t="s">
        <v>45</v>
      </c>
      <c r="J29" s="96" t="s">
        <v>133</v>
      </c>
      <c r="K29" s="401"/>
      <c r="L29" s="402">
        <f>+K29*3</f>
        <v>0</v>
      </c>
      <c r="M29" s="164"/>
      <c r="N29" s="163">
        <f>+M29*3</f>
        <v>0</v>
      </c>
      <c r="O29" s="28">
        <v>29</v>
      </c>
      <c r="P29" s="11">
        <f>IF(O29&gt;25,150,(O29)*6)</f>
        <v>150</v>
      </c>
      <c r="Q29" s="218"/>
      <c r="R29" s="240">
        <f t="shared" si="1"/>
        <v>150</v>
      </c>
      <c r="S29" s="107"/>
      <c r="T29" s="5"/>
      <c r="Z29" s="186" t="s">
        <v>160</v>
      </c>
      <c r="AA29" s="284">
        <f>+AA28/AA27</f>
        <v>3.75</v>
      </c>
      <c r="AB29" s="173" t="s">
        <v>150</v>
      </c>
      <c r="AC29" s="65"/>
    </row>
    <row r="30" spans="1:29">
      <c r="A30" s="215"/>
      <c r="H30" s="142"/>
      <c r="I30" s="25" t="s">
        <v>13</v>
      </c>
      <c r="J30" s="81" t="s">
        <v>319</v>
      </c>
      <c r="K30" s="398"/>
      <c r="L30" s="397">
        <f>3*K30</f>
        <v>0</v>
      </c>
      <c r="M30" s="164"/>
      <c r="N30" s="163">
        <v>0</v>
      </c>
      <c r="O30" s="28"/>
      <c r="P30" s="75">
        <f t="shared" si="0"/>
        <v>0</v>
      </c>
      <c r="Q30" s="218"/>
      <c r="R30" s="240">
        <f t="shared" si="1"/>
        <v>0</v>
      </c>
      <c r="S30" s="107"/>
      <c r="T30" s="5"/>
    </row>
    <row r="31" spans="1:29">
      <c r="A31" s="215"/>
      <c r="H31" s="95"/>
      <c r="I31" s="25" t="s">
        <v>31</v>
      </c>
      <c r="J31" s="81" t="s">
        <v>127</v>
      </c>
      <c r="K31" s="398"/>
      <c r="L31" s="397">
        <v>0</v>
      </c>
      <c r="M31" s="164"/>
      <c r="N31" s="163">
        <v>0</v>
      </c>
      <c r="O31" s="28">
        <v>30</v>
      </c>
      <c r="P31" s="75">
        <f t="shared" si="0"/>
        <v>150</v>
      </c>
      <c r="Q31" s="218"/>
      <c r="R31" s="11">
        <f t="shared" si="1"/>
        <v>150</v>
      </c>
      <c r="S31" s="107"/>
      <c r="T31" s="5"/>
    </row>
    <row r="32" spans="1:29">
      <c r="A32" s="215"/>
      <c r="H32" s="95"/>
      <c r="I32" s="25" t="s">
        <v>30</v>
      </c>
      <c r="J32" s="81" t="s">
        <v>126</v>
      </c>
      <c r="K32" s="398"/>
      <c r="L32" s="397">
        <f>+K32*3</f>
        <v>0</v>
      </c>
      <c r="M32" s="164"/>
      <c r="N32" s="163">
        <f>+M32*3</f>
        <v>0</v>
      </c>
      <c r="O32" s="28">
        <v>36</v>
      </c>
      <c r="P32" s="75">
        <f t="shared" si="0"/>
        <v>150</v>
      </c>
      <c r="Q32" s="218"/>
      <c r="R32" s="320">
        <f t="shared" si="1"/>
        <v>150</v>
      </c>
      <c r="S32" s="107"/>
      <c r="T32" s="5"/>
    </row>
    <row r="33" spans="1:32" s="4" customFormat="1">
      <c r="A33" s="215"/>
      <c r="B33"/>
      <c r="C33"/>
      <c r="D33" s="1"/>
      <c r="E33"/>
      <c r="F33" s="2"/>
      <c r="G33"/>
      <c r="H33" s="83"/>
      <c r="I33" s="390" t="s">
        <v>186</v>
      </c>
      <c r="J33" s="270" t="s">
        <v>187</v>
      </c>
      <c r="K33" s="420"/>
      <c r="L33" s="421">
        <v>0</v>
      </c>
      <c r="M33" s="422"/>
      <c r="N33" s="423">
        <f>5*M33</f>
        <v>0</v>
      </c>
      <c r="O33" s="424"/>
      <c r="P33" s="425">
        <f t="shared" si="0"/>
        <v>0</v>
      </c>
      <c r="Q33" s="426"/>
      <c r="R33" s="425">
        <f t="shared" si="1"/>
        <v>0</v>
      </c>
      <c r="S33" s="274"/>
      <c r="T33" s="427"/>
      <c r="U33"/>
      <c r="V33" s="46"/>
      <c r="W33"/>
      <c r="X33"/>
      <c r="Y33"/>
      <c r="Z33"/>
      <c r="AA33"/>
      <c r="AB33"/>
      <c r="AC33"/>
      <c r="AD33"/>
      <c r="AE33"/>
      <c r="AF33"/>
    </row>
    <row r="34" spans="1:32">
      <c r="A34" s="215"/>
      <c r="H34" s="83"/>
      <c r="I34" s="25" t="s">
        <v>17</v>
      </c>
      <c r="J34" s="81" t="s">
        <v>123</v>
      </c>
      <c r="K34" s="398"/>
      <c r="L34" s="397">
        <v>0</v>
      </c>
      <c r="M34" s="164"/>
      <c r="N34" s="163">
        <v>0</v>
      </c>
      <c r="O34" s="74"/>
      <c r="P34" s="75">
        <f>IF(O34&gt;25,150,(O34)*6)</f>
        <v>0</v>
      </c>
      <c r="Q34" s="218"/>
      <c r="R34" s="11">
        <f t="shared" si="1"/>
        <v>0</v>
      </c>
      <c r="S34" s="107"/>
      <c r="T34" s="5"/>
    </row>
    <row r="35" spans="1:32">
      <c r="A35" s="215"/>
      <c r="H35" s="83"/>
      <c r="I35" s="25" t="s">
        <v>60</v>
      </c>
      <c r="J35" s="81" t="s">
        <v>132</v>
      </c>
      <c r="K35" s="398"/>
      <c r="L35" s="397">
        <v>0</v>
      </c>
      <c r="M35" s="164"/>
      <c r="N35" s="163">
        <v>0</v>
      </c>
      <c r="O35" s="74"/>
      <c r="P35" s="75">
        <f>IF(O35&gt;25,150,(O35)*6)</f>
        <v>0</v>
      </c>
      <c r="Q35" s="218"/>
      <c r="R35" s="11">
        <f>+L35+N35+P35+Q35</f>
        <v>0</v>
      </c>
      <c r="S35" s="107"/>
      <c r="T35" s="5"/>
    </row>
    <row r="36" spans="1:32">
      <c r="H36" s="142"/>
      <c r="I36" s="25" t="s">
        <v>233</v>
      </c>
      <c r="J36" s="81" t="s">
        <v>234</v>
      </c>
      <c r="K36" s="398"/>
      <c r="L36" s="397">
        <f>3*K36</f>
        <v>0</v>
      </c>
      <c r="M36" s="164"/>
      <c r="N36" s="163">
        <f>3*M36</f>
        <v>0</v>
      </c>
      <c r="O36" s="28"/>
      <c r="P36" s="75">
        <f t="shared" si="0"/>
        <v>0</v>
      </c>
      <c r="Q36" s="218"/>
      <c r="R36" s="11">
        <f>+L36+N36+P36+Q36</f>
        <v>0</v>
      </c>
      <c r="S36" s="107"/>
      <c r="T36" s="5"/>
    </row>
    <row r="37" spans="1:32">
      <c r="H37" s="142"/>
      <c r="I37" s="25" t="s">
        <v>469</v>
      </c>
      <c r="J37" s="428" t="s">
        <v>470</v>
      </c>
      <c r="K37" s="398"/>
      <c r="L37" s="397">
        <v>0</v>
      </c>
      <c r="M37" s="164"/>
      <c r="N37" s="163">
        <v>0</v>
      </c>
      <c r="O37" s="74">
        <v>1</v>
      </c>
      <c r="P37" s="75">
        <f t="shared" si="0"/>
        <v>6</v>
      </c>
      <c r="Q37" s="218"/>
      <c r="R37" s="9">
        <f t="shared" si="1"/>
        <v>6</v>
      </c>
      <c r="S37" s="107"/>
      <c r="T37" s="5"/>
    </row>
    <row r="38" spans="1:32">
      <c r="A38" s="215"/>
      <c r="H38" s="95"/>
      <c r="I38" s="25" t="s">
        <v>8</v>
      </c>
      <c r="J38" s="81" t="s">
        <v>120</v>
      </c>
      <c r="K38" s="398"/>
      <c r="L38" s="397">
        <v>0</v>
      </c>
      <c r="M38" s="164"/>
      <c r="N38" s="163">
        <v>0</v>
      </c>
      <c r="O38" s="28"/>
      <c r="P38" s="75">
        <f t="shared" si="0"/>
        <v>0</v>
      </c>
      <c r="Q38" s="218"/>
      <c r="R38" s="11">
        <f t="shared" si="1"/>
        <v>0</v>
      </c>
      <c r="S38" s="107"/>
      <c r="T38" s="5"/>
      <c r="AF38" s="4"/>
    </row>
    <row r="39" spans="1:32">
      <c r="A39" s="215"/>
      <c r="H39" s="95"/>
      <c r="I39" s="25" t="s">
        <v>11</v>
      </c>
      <c r="J39" s="81" t="s">
        <v>130</v>
      </c>
      <c r="K39" s="398"/>
      <c r="L39" s="397">
        <f>+K39*3</f>
        <v>0</v>
      </c>
      <c r="M39" s="164"/>
      <c r="N39" s="163">
        <v>0</v>
      </c>
      <c r="O39" s="28">
        <v>1</v>
      </c>
      <c r="P39" s="75">
        <f t="shared" si="0"/>
        <v>6</v>
      </c>
      <c r="Q39" s="218"/>
      <c r="R39" s="11">
        <f t="shared" si="1"/>
        <v>6</v>
      </c>
      <c r="S39" s="107"/>
      <c r="T39" s="5"/>
    </row>
    <row r="40" spans="1:32" ht="15.75">
      <c r="H40" s="83"/>
      <c r="I40" s="25" t="s">
        <v>6</v>
      </c>
      <c r="J40" s="96" t="s">
        <v>116</v>
      </c>
      <c r="K40" s="398"/>
      <c r="L40" s="397">
        <f>+K40*3</f>
        <v>0</v>
      </c>
      <c r="M40" s="164"/>
      <c r="N40" s="163">
        <f>+M40*3</f>
        <v>0</v>
      </c>
      <c r="O40" s="74">
        <v>25</v>
      </c>
      <c r="P40" s="75">
        <f t="shared" si="0"/>
        <v>150</v>
      </c>
      <c r="Q40" s="218"/>
      <c r="R40" s="11">
        <f t="shared" si="1"/>
        <v>150</v>
      </c>
      <c r="S40" s="107"/>
      <c r="T40" s="5"/>
      <c r="V40" s="375">
        <v>12</v>
      </c>
      <c r="W40" s="376">
        <f>+V40/7*6</f>
        <v>10.285714285714285</v>
      </c>
    </row>
    <row r="41" spans="1:32" ht="15.75">
      <c r="H41" s="95"/>
      <c r="I41" s="25" t="s">
        <v>53</v>
      </c>
      <c r="J41" s="81" t="s">
        <v>135</v>
      </c>
      <c r="K41" s="398"/>
      <c r="L41" s="397">
        <v>0</v>
      </c>
      <c r="M41" s="164"/>
      <c r="N41" s="163">
        <v>0</v>
      </c>
      <c r="O41" s="28">
        <v>26</v>
      </c>
      <c r="P41" s="75">
        <f t="shared" si="0"/>
        <v>150</v>
      </c>
      <c r="Q41" s="218"/>
      <c r="R41" s="11">
        <f t="shared" si="1"/>
        <v>150</v>
      </c>
      <c r="S41" s="107"/>
      <c r="T41" s="5"/>
      <c r="V41" s="375">
        <v>20</v>
      </c>
      <c r="W41" s="376">
        <f>+V41/7*6</f>
        <v>17.142857142857142</v>
      </c>
    </row>
    <row r="42" spans="1:32" ht="15.75">
      <c r="H42" s="81"/>
      <c r="I42" s="120" t="s">
        <v>12</v>
      </c>
      <c r="J42" s="121" t="s">
        <v>114</v>
      </c>
      <c r="K42" s="403"/>
      <c r="L42" s="404">
        <v>0</v>
      </c>
      <c r="M42" s="165"/>
      <c r="N42" s="166">
        <v>0</v>
      </c>
      <c r="O42" s="122"/>
      <c r="P42" s="15">
        <f t="shared" si="0"/>
        <v>0</v>
      </c>
      <c r="Q42" s="222"/>
      <c r="R42" s="362">
        <f t="shared" si="1"/>
        <v>0</v>
      </c>
      <c r="S42" s="389"/>
      <c r="T42" s="5"/>
      <c r="V42" s="375">
        <v>8</v>
      </c>
      <c r="W42" s="377">
        <f>+W41-W40</f>
        <v>6.8571428571428577</v>
      </c>
    </row>
    <row r="43" spans="1:32">
      <c r="I43" s="13"/>
      <c r="J43" s="14"/>
      <c r="K43" s="405">
        <f t="shared" ref="K43:S43" si="3">SUM(K4:K42)</f>
        <v>0</v>
      </c>
      <c r="L43" s="408">
        <f t="shared" si="3"/>
        <v>0</v>
      </c>
      <c r="M43" s="167">
        <f t="shared" si="3"/>
        <v>0</v>
      </c>
      <c r="N43" s="407">
        <f t="shared" si="3"/>
        <v>0</v>
      </c>
      <c r="O43" s="77">
        <f t="shared" si="3"/>
        <v>609</v>
      </c>
      <c r="P43" s="409">
        <f t="shared" si="3"/>
        <v>2976</v>
      </c>
      <c r="Q43" s="323">
        <f t="shared" si="3"/>
        <v>0</v>
      </c>
      <c r="R43" s="78">
        <f t="shared" si="3"/>
        <v>2976</v>
      </c>
      <c r="S43" s="102">
        <f t="shared" si="3"/>
        <v>0</v>
      </c>
      <c r="T43" s="5"/>
    </row>
    <row r="44" spans="1:32">
      <c r="J44" s="200">
        <f ca="1">TODAY()</f>
        <v>43825</v>
      </c>
      <c r="K44" s="41"/>
      <c r="M44" s="42"/>
      <c r="N44" s="41"/>
      <c r="O44" s="45" t="s">
        <v>81</v>
      </c>
      <c r="Q44" s="42"/>
      <c r="R44" s="45">
        <f>+R9+R14</f>
        <v>0</v>
      </c>
      <c r="T44" s="5"/>
    </row>
    <row r="45" spans="1:32">
      <c r="L45" s="43"/>
      <c r="M45" s="44"/>
      <c r="N45" s="125"/>
      <c r="O45" s="43" t="s">
        <v>91</v>
      </c>
      <c r="P45" s="114">
        <v>2622</v>
      </c>
      <c r="Q45" s="110" t="s">
        <v>58</v>
      </c>
      <c r="R45" s="111">
        <f>+R43-R44</f>
        <v>2976</v>
      </c>
      <c r="S45" s="109"/>
      <c r="T45" s="5"/>
    </row>
    <row r="46" spans="1:32">
      <c r="P46" s="19"/>
      <c r="T46" s="5"/>
      <c r="AC46">
        <v>4</v>
      </c>
    </row>
    <row r="47" spans="1:32" ht="15" customHeight="1">
      <c r="I47" s="330" t="s">
        <v>86</v>
      </c>
      <c r="P47" s="1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I48" s="331" t="s">
        <v>87</v>
      </c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30" t="s">
        <v>523</v>
      </c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30" t="s">
        <v>524</v>
      </c>
      <c r="T50" s="5"/>
    </row>
    <row r="51" spans="9:29">
      <c r="U51" s="64"/>
      <c r="V51" s="59"/>
      <c r="W51" s="60"/>
      <c r="X51" s="60"/>
    </row>
    <row r="52" spans="9:29">
      <c r="U52" s="58"/>
      <c r="V52" s="66"/>
      <c r="W52" s="67"/>
      <c r="X52" s="60"/>
    </row>
    <row r="53" spans="9:29">
      <c r="U53" s="60"/>
      <c r="V53" s="59"/>
      <c r="W53" s="60"/>
    </row>
    <row r="54" spans="9:29">
      <c r="U54" s="60"/>
      <c r="V54" s="59"/>
      <c r="W54" s="60"/>
    </row>
    <row r="55" spans="9:29">
      <c r="U55" s="60"/>
      <c r="V55" s="59"/>
      <c r="W55" s="60"/>
    </row>
    <row r="56" spans="9:29">
      <c r="U56" s="60"/>
      <c r="V56" s="59"/>
      <c r="W56" s="60"/>
    </row>
    <row r="57" spans="9:29">
      <c r="U57" s="60"/>
      <c r="V57" s="59"/>
      <c r="W57" s="60"/>
    </row>
    <row r="58" spans="9:29">
      <c r="U58" s="60"/>
      <c r="V58" s="59"/>
      <c r="W58" s="60"/>
    </row>
  </sheetData>
  <mergeCells count="3">
    <mergeCell ref="I2:R2"/>
    <mergeCell ref="T2:V2"/>
    <mergeCell ref="AC14:AC15"/>
  </mergeCells>
  <conditionalFormatting sqref="R4">
    <cfRule type="cellIs" dxfId="120" priority="2" operator="lessThanOrEqual">
      <formula>0</formula>
    </cfRule>
  </conditionalFormatting>
  <conditionalFormatting sqref="R4:R42">
    <cfRule type="cellIs" dxfId="119" priority="1" operator="greaterThan">
      <formula>0</formula>
    </cfRule>
  </conditionalFormatting>
  <printOptions horizontalCentered="1"/>
  <pageMargins left="0" right="0.17" top="1.34" bottom="0" header="0" footer="0"/>
  <pageSetup paperSize="9" scale="98" orientation="portrait" r:id="rId1"/>
  <ignoredErrors>
    <ignoredError sqref="L17:N17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70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K5" sqref="K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.7109375" customWidth="1"/>
    <col min="9" max="9" width="7.42578125" customWidth="1"/>
    <col min="10" max="10" width="25.7109375" customWidth="1"/>
    <col min="11" max="11" width="1.7109375" customWidth="1"/>
    <col min="12" max="12" width="1.5703125" customWidth="1"/>
    <col min="13" max="14" width="6.7109375" customWidth="1"/>
    <col min="15" max="15" width="6.85546875" customWidth="1"/>
    <col min="16" max="16" width="12.140625" customWidth="1"/>
    <col min="17" max="17" width="7.7109375" customWidth="1"/>
    <col min="18" max="18" width="15.7109375" customWidth="1"/>
    <col min="19" max="19" width="2.7109375" style="103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5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>
      <c r="H2" s="83"/>
      <c r="I2" s="429" t="s">
        <v>356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285" t="s">
        <v>298</v>
      </c>
      <c r="O4" s="87" t="s">
        <v>15</v>
      </c>
      <c r="P4" s="87" t="s">
        <v>357</v>
      </c>
      <c r="Q4" s="99" t="s">
        <v>358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v>0</v>
      </c>
      <c r="O5" s="76">
        <v>39</v>
      </c>
      <c r="P5" s="75">
        <f t="shared" ref="P5:P44" si="0">IF(O5&gt;25,150,(O5)*6)</f>
        <v>150</v>
      </c>
      <c r="Q5" s="217"/>
      <c r="R5" s="11">
        <f t="shared" ref="R5:R44" si="1">+L5+N5+P5+Q5</f>
        <v>150</v>
      </c>
      <c r="S5" s="106"/>
      <c r="T5" s="5"/>
      <c r="U5" s="258">
        <v>972</v>
      </c>
      <c r="V5" s="259">
        <v>125.87</v>
      </c>
      <c r="W5" s="260">
        <v>846.13</v>
      </c>
      <c r="X5" s="242" t="s">
        <v>284</v>
      </c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26">
        <f>+V6+W6</f>
        <v>945.42918936806404</v>
      </c>
      <c r="V6" s="256">
        <f>+V5*W6/W5</f>
        <v>122.42918936806402</v>
      </c>
      <c r="W6" s="261">
        <v>823</v>
      </c>
      <c r="X6" s="36" t="s">
        <v>348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164"/>
      <c r="N7" s="163">
        <v>0</v>
      </c>
      <c r="O7" s="74">
        <v>32</v>
      </c>
      <c r="P7" s="75">
        <f t="shared" si="0"/>
        <v>150</v>
      </c>
      <c r="Q7" s="218"/>
      <c r="R7" s="320">
        <f t="shared" si="1"/>
        <v>150</v>
      </c>
      <c r="S7" s="106"/>
      <c r="T7" s="5"/>
      <c r="U7" s="32">
        <f>+U5-U6</f>
        <v>26.570810631935956</v>
      </c>
      <c r="V7" s="47"/>
      <c r="W7" s="33"/>
      <c r="X7" s="262" t="s">
        <v>59</v>
      </c>
    </row>
    <row r="8" spans="8:29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>
        <v>43</v>
      </c>
      <c r="P8" s="75">
        <f t="shared" si="0"/>
        <v>150</v>
      </c>
      <c r="Q8" s="218"/>
      <c r="R8" s="320">
        <f t="shared" si="1"/>
        <v>150</v>
      </c>
      <c r="S8" s="138"/>
      <c r="T8" s="5"/>
      <c r="U8" s="34">
        <v>150</v>
      </c>
      <c r="V8" s="38">
        <f>+U8-U7</f>
        <v>123.42918936806404</v>
      </c>
      <c r="W8" s="39" t="s">
        <v>63</v>
      </c>
      <c r="X8" s="263">
        <f>150-V8</f>
        <v>26.570810631935956</v>
      </c>
    </row>
    <row r="9" spans="8:29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/>
      <c r="P9" s="75">
        <f t="shared" si="0"/>
        <v>0</v>
      </c>
      <c r="Q9" s="218"/>
      <c r="R9" s="11">
        <f t="shared" si="1"/>
        <v>0</v>
      </c>
      <c r="S9" s="107"/>
      <c r="T9" s="5"/>
      <c r="U9" s="10"/>
      <c r="X9" s="37"/>
    </row>
    <row r="10" spans="8:29" ht="15" customHeight="1">
      <c r="H10" s="95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28"/>
      <c r="P10" s="75">
        <f t="shared" si="0"/>
        <v>0</v>
      </c>
      <c r="Q10" s="218"/>
      <c r="R10" s="11">
        <f t="shared" si="1"/>
        <v>0</v>
      </c>
      <c r="S10" s="197"/>
      <c r="T10" s="5"/>
      <c r="U10" s="258">
        <v>988</v>
      </c>
      <c r="V10" s="259">
        <v>118.76</v>
      </c>
      <c r="W10" s="260">
        <v>869.24</v>
      </c>
      <c r="X10" s="242" t="s">
        <v>349</v>
      </c>
      <c r="Y10" s="266"/>
    </row>
    <row r="11" spans="8:29">
      <c r="H11" s="242" t="s">
        <v>170</v>
      </c>
      <c r="I11" s="188" t="s">
        <v>56</v>
      </c>
      <c r="J11" s="189" t="s">
        <v>136</v>
      </c>
      <c r="K11" s="192"/>
      <c r="L11" s="193">
        <v>0</v>
      </c>
      <c r="M11" s="192"/>
      <c r="N11" s="193">
        <f>2.7*M11</f>
        <v>0</v>
      </c>
      <c r="O11" s="192">
        <v>36</v>
      </c>
      <c r="P11" s="193">
        <f t="shared" si="0"/>
        <v>150</v>
      </c>
      <c r="Q11" s="221"/>
      <c r="R11" s="329">
        <f t="shared" si="1"/>
        <v>150</v>
      </c>
      <c r="S11" s="107"/>
      <c r="T11" s="5"/>
      <c r="U11" s="326">
        <f>+V11+W11</f>
        <v>935.44245547834896</v>
      </c>
      <c r="V11" s="256">
        <f>+V10*W11/W10</f>
        <v>112.44245547834892</v>
      </c>
      <c r="W11" s="261">
        <v>823</v>
      </c>
      <c r="X11" s="36" t="s">
        <v>348</v>
      </c>
    </row>
    <row r="12" spans="8:29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>
        <v>2</v>
      </c>
      <c r="P12" s="75">
        <f t="shared" si="0"/>
        <v>12</v>
      </c>
      <c r="Q12" s="218"/>
      <c r="R12" s="9">
        <f t="shared" si="1"/>
        <v>12</v>
      </c>
      <c r="S12" s="106"/>
      <c r="T12" s="5"/>
      <c r="U12" s="32">
        <f>+U10-U11</f>
        <v>52.557544521651039</v>
      </c>
      <c r="V12" s="47"/>
      <c r="W12" s="33"/>
      <c r="X12" s="262" t="s">
        <v>59</v>
      </c>
    </row>
    <row r="13" spans="8:29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97.442455478348961</v>
      </c>
      <c r="W13" s="39" t="s">
        <v>63</v>
      </c>
      <c r="X13" s="263">
        <f>150-V13</f>
        <v>52.557544521651039</v>
      </c>
    </row>
    <row r="14" spans="8:29">
      <c r="H14" s="83"/>
      <c r="I14" s="25" t="s">
        <v>20</v>
      </c>
      <c r="J14" s="81" t="s">
        <v>195</v>
      </c>
      <c r="K14" s="228"/>
      <c r="L14" s="227">
        <f>+K14*3</f>
        <v>0</v>
      </c>
      <c r="M14" s="164"/>
      <c r="N14" s="163">
        <f>+M14*3</f>
        <v>0</v>
      </c>
      <c r="O14" s="74">
        <v>1</v>
      </c>
      <c r="P14" s="75">
        <f t="shared" si="0"/>
        <v>6</v>
      </c>
      <c r="Q14" s="217"/>
      <c r="R14" s="9">
        <f t="shared" si="1"/>
        <v>6</v>
      </c>
      <c r="S14" s="107"/>
      <c r="T14" s="5"/>
      <c r="U14" s="10"/>
      <c r="X14" s="37"/>
    </row>
    <row r="15" spans="8:29">
      <c r="H15" s="251" t="s">
        <v>50</v>
      </c>
      <c r="I15" s="275" t="s">
        <v>272</v>
      </c>
      <c r="J15" s="276" t="s">
        <v>271</v>
      </c>
      <c r="K15" s="277"/>
      <c r="L15" s="278">
        <v>0</v>
      </c>
      <c r="M15" s="277"/>
      <c r="N15" s="278">
        <v>0</v>
      </c>
      <c r="O15" s="277"/>
      <c r="P15" s="278">
        <f t="shared" si="0"/>
        <v>0</v>
      </c>
      <c r="Q15" s="279"/>
      <c r="R15" s="278">
        <f t="shared" si="1"/>
        <v>0</v>
      </c>
      <c r="S15" s="280"/>
      <c r="T15" s="5"/>
      <c r="U15" s="258">
        <v>880</v>
      </c>
      <c r="V15" s="259">
        <v>114.4</v>
      </c>
      <c r="W15" s="327">
        <v>765.6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95"/>
      <c r="I16" s="25" t="s">
        <v>25</v>
      </c>
      <c r="J16" s="81" t="s">
        <v>118</v>
      </c>
      <c r="K16" s="228"/>
      <c r="L16" s="227">
        <f>+K16*3</f>
        <v>0</v>
      </c>
      <c r="M16" s="164"/>
      <c r="N16" s="163">
        <f>+M16*3</f>
        <v>0</v>
      </c>
      <c r="O16" s="28">
        <v>1</v>
      </c>
      <c r="P16" s="75">
        <f t="shared" si="0"/>
        <v>6</v>
      </c>
      <c r="Q16" s="218"/>
      <c r="R16" s="11">
        <f t="shared" si="1"/>
        <v>6</v>
      </c>
      <c r="S16" s="107"/>
      <c r="T16" s="5"/>
      <c r="U16" s="326">
        <f>+V16+W16</f>
        <v>827.58620689655174</v>
      </c>
      <c r="V16" s="256">
        <f>+V15*W16/W15</f>
        <v>107.58620689655172</v>
      </c>
      <c r="W16" s="261">
        <v>720</v>
      </c>
      <c r="X16" s="36" t="s">
        <v>350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164"/>
      <c r="N17" s="163">
        <f>+M17*3</f>
        <v>0</v>
      </c>
      <c r="O17" s="28">
        <v>35</v>
      </c>
      <c r="P17" s="75">
        <f t="shared" si="0"/>
        <v>150</v>
      </c>
      <c r="Q17" s="218"/>
      <c r="R17" s="11">
        <f t="shared" si="1"/>
        <v>150</v>
      </c>
      <c r="S17" s="107"/>
      <c r="T17" s="5"/>
      <c r="U17" s="32">
        <f>+U15-U16</f>
        <v>52.413793103448256</v>
      </c>
      <c r="V17" s="47"/>
      <c r="W17" s="33"/>
      <c r="X17" s="262" t="s">
        <v>59</v>
      </c>
      <c r="Z17" s="282">
        <v>43673</v>
      </c>
      <c r="AA17" s="317">
        <v>1</v>
      </c>
      <c r="AB17" s="281">
        <v>3</v>
      </c>
      <c r="AC17" s="174" t="s">
        <v>157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162"/>
      <c r="N18" s="163">
        <f>5*M18</f>
        <v>0</v>
      </c>
      <c r="O18" s="76"/>
      <c r="P18" s="75">
        <f t="shared" si="0"/>
        <v>0</v>
      </c>
      <c r="Q18" s="217"/>
      <c r="R18" s="11">
        <f t="shared" si="1"/>
        <v>0</v>
      </c>
      <c r="S18" s="106"/>
      <c r="T18" s="5"/>
      <c r="U18" s="34">
        <v>150</v>
      </c>
      <c r="V18" s="38">
        <f>+U18-U17</f>
        <v>97.586206896551744</v>
      </c>
      <c r="W18" s="39" t="s">
        <v>63</v>
      </c>
      <c r="X18" s="263">
        <f>150-V18</f>
        <v>52.413793103448256</v>
      </c>
      <c r="Z18" s="282">
        <f>1+Z17</f>
        <v>43674</v>
      </c>
      <c r="AA18" s="318">
        <v>1</v>
      </c>
      <c r="AB18" s="281">
        <v>5</v>
      </c>
      <c r="AC18" s="33" t="s">
        <v>156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164"/>
      <c r="N19" s="163">
        <f>+M19*3</f>
        <v>0</v>
      </c>
      <c r="O19" s="74">
        <v>2</v>
      </c>
      <c r="P19" s="75">
        <f t="shared" si="0"/>
        <v>12</v>
      </c>
      <c r="Q19" s="217"/>
      <c r="R19" s="9">
        <f t="shared" si="1"/>
        <v>12</v>
      </c>
      <c r="S19" s="107"/>
      <c r="T19" s="5"/>
      <c r="U19" s="10"/>
      <c r="X19" s="37"/>
      <c r="Z19" s="282">
        <f t="shared" ref="Z19:Z27" si="2">1+Z18</f>
        <v>43675</v>
      </c>
      <c r="AA19" s="318">
        <v>1</v>
      </c>
      <c r="AB19" s="281">
        <v>5</v>
      </c>
      <c r="AC19" s="33" t="s">
        <v>151</v>
      </c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164"/>
      <c r="N20" s="163">
        <f>3*M20</f>
        <v>0</v>
      </c>
      <c r="O20" s="74"/>
      <c r="P20" s="75">
        <f t="shared" si="0"/>
        <v>0</v>
      </c>
      <c r="Q20" s="217"/>
      <c r="R20" s="9">
        <f t="shared" si="1"/>
        <v>0</v>
      </c>
      <c r="S20" s="107"/>
      <c r="T20" s="5"/>
      <c r="U20" s="258">
        <v>900</v>
      </c>
      <c r="V20" s="259">
        <f>+U20*0.13</f>
        <v>117</v>
      </c>
      <c r="W20" s="327">
        <f>+V20+U20</f>
        <v>1017</v>
      </c>
      <c r="X20" s="100"/>
      <c r="Y20" s="266"/>
      <c r="Z20" s="282">
        <f t="shared" si="2"/>
        <v>43676</v>
      </c>
      <c r="AA20" s="318">
        <v>1</v>
      </c>
      <c r="AB20" s="281">
        <v>2</v>
      </c>
      <c r="AC20" s="33" t="s">
        <v>152</v>
      </c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277"/>
      <c r="N21" s="278">
        <v>0</v>
      </c>
      <c r="O21" s="277">
        <v>33</v>
      </c>
      <c r="P21" s="278">
        <f t="shared" si="0"/>
        <v>150</v>
      </c>
      <c r="Q21" s="279"/>
      <c r="R21" s="278">
        <f t="shared" si="1"/>
        <v>150</v>
      </c>
      <c r="S21" s="280"/>
      <c r="T21" s="5"/>
      <c r="U21" s="326">
        <f>+V21+W21</f>
        <v>802.83185840707961</v>
      </c>
      <c r="V21" s="256">
        <f>+V20*W21/W20</f>
        <v>82.83185840707965</v>
      </c>
      <c r="W21" s="261">
        <v>720</v>
      </c>
      <c r="X21" s="36" t="s">
        <v>350</v>
      </c>
      <c r="Z21" s="282">
        <f t="shared" si="2"/>
        <v>43677</v>
      </c>
      <c r="AA21" s="318"/>
      <c r="AB21" s="281"/>
      <c r="AC21" s="33" t="s">
        <v>153</v>
      </c>
    </row>
    <row r="22" spans="1:29" ht="15.75">
      <c r="A22" s="215"/>
      <c r="H22" s="142"/>
      <c r="I22" s="25" t="s">
        <v>4</v>
      </c>
      <c r="J22" s="81" t="s">
        <v>111</v>
      </c>
      <c r="K22" s="228"/>
      <c r="L22" s="227">
        <v>0</v>
      </c>
      <c r="M22" s="164"/>
      <c r="N22" s="163">
        <f>+M22*3</f>
        <v>0</v>
      </c>
      <c r="O22" s="28">
        <v>29</v>
      </c>
      <c r="P22" s="75">
        <f t="shared" si="0"/>
        <v>150</v>
      </c>
      <c r="Q22" s="218"/>
      <c r="R22" s="321">
        <f t="shared" si="1"/>
        <v>150</v>
      </c>
      <c r="S22" s="107"/>
      <c r="T22" s="5"/>
      <c r="U22" s="32">
        <f>+U20-U21</f>
        <v>97.168141592920392</v>
      </c>
      <c r="V22" s="47"/>
      <c r="W22" s="33"/>
      <c r="X22" s="262" t="s">
        <v>59</v>
      </c>
      <c r="Z22" s="282">
        <f t="shared" si="2"/>
        <v>43678</v>
      </c>
      <c r="AA22" s="318"/>
      <c r="AB22" s="281"/>
      <c r="AC22" s="33" t="s">
        <v>154</v>
      </c>
    </row>
    <row r="23" spans="1:29" ht="15.75">
      <c r="A23" s="215"/>
      <c r="H23" s="142"/>
      <c r="I23" s="25" t="s">
        <v>9</v>
      </c>
      <c r="J23" s="81" t="s">
        <v>128</v>
      </c>
      <c r="K23" s="228"/>
      <c r="L23" s="227">
        <v>0</v>
      </c>
      <c r="M23" s="164"/>
      <c r="N23" s="163">
        <f>+M23*3</f>
        <v>0</v>
      </c>
      <c r="O23" s="28">
        <v>32</v>
      </c>
      <c r="P23" s="75">
        <f t="shared" si="0"/>
        <v>150</v>
      </c>
      <c r="Q23" s="218"/>
      <c r="R23" s="321">
        <f t="shared" si="1"/>
        <v>150</v>
      </c>
      <c r="S23" s="107"/>
      <c r="T23" s="5"/>
      <c r="U23" s="34">
        <v>150</v>
      </c>
      <c r="V23" s="38">
        <f>+U23-U22</f>
        <v>52.831858407079608</v>
      </c>
      <c r="W23" s="39" t="s">
        <v>63</v>
      </c>
      <c r="X23" s="263">
        <f>150-V23</f>
        <v>97.168141592920392</v>
      </c>
      <c r="Z23" s="282">
        <f t="shared" si="2"/>
        <v>43679</v>
      </c>
      <c r="AA23" s="318"/>
      <c r="AB23" s="281"/>
      <c r="AC23" s="175" t="s">
        <v>155</v>
      </c>
    </row>
    <row r="24" spans="1:29" ht="15.75">
      <c r="A24" s="215"/>
      <c r="H24" s="142"/>
      <c r="I24" s="25" t="s">
        <v>236</v>
      </c>
      <c r="J24" s="96" t="s">
        <v>235</v>
      </c>
      <c r="K24" s="29"/>
      <c r="L24" s="27">
        <v>0</v>
      </c>
      <c r="M24" s="164"/>
      <c r="N24" s="163">
        <v>0</v>
      </c>
      <c r="O24" s="28">
        <v>25</v>
      </c>
      <c r="P24" s="11">
        <f t="shared" si="0"/>
        <v>150</v>
      </c>
      <c r="Q24" s="218"/>
      <c r="R24" s="321">
        <f t="shared" si="1"/>
        <v>150</v>
      </c>
      <c r="S24" s="241"/>
      <c r="T24" s="5"/>
      <c r="U24" s="10"/>
      <c r="X24" s="37"/>
      <c r="Z24" s="282">
        <f t="shared" si="2"/>
        <v>43680</v>
      </c>
      <c r="AA24" s="318"/>
      <c r="AB24" s="281"/>
      <c r="AC24" s="61"/>
    </row>
    <row r="25" spans="1:29">
      <c r="H25" s="251" t="s">
        <v>50</v>
      </c>
      <c r="I25" s="275" t="s">
        <v>328</v>
      </c>
      <c r="J25" s="276" t="s">
        <v>329</v>
      </c>
      <c r="K25" s="277"/>
      <c r="L25" s="278">
        <v>0</v>
      </c>
      <c r="M25" s="277"/>
      <c r="N25" s="278">
        <v>0</v>
      </c>
      <c r="O25" s="277">
        <v>22</v>
      </c>
      <c r="P25" s="278">
        <f t="shared" si="0"/>
        <v>132</v>
      </c>
      <c r="Q25" s="279"/>
      <c r="R25" s="278">
        <f t="shared" si="1"/>
        <v>132</v>
      </c>
      <c r="S25" s="280"/>
      <c r="T25" s="5"/>
      <c r="Z25" s="282">
        <f t="shared" si="2"/>
        <v>43681</v>
      </c>
      <c r="AA25" s="318"/>
      <c r="AB25" s="281"/>
      <c r="AC25" s="61"/>
    </row>
    <row r="26" spans="1:29">
      <c r="A26" s="237"/>
      <c r="B26" s="237"/>
      <c r="C26" s="237"/>
      <c r="D26" s="238"/>
      <c r="E26" s="237"/>
      <c r="F26" s="239"/>
      <c r="G26" s="237"/>
      <c r="H26" s="142"/>
      <c r="I26" s="25" t="s">
        <v>51</v>
      </c>
      <c r="J26" s="96" t="s">
        <v>134</v>
      </c>
      <c r="K26" s="29"/>
      <c r="L26" s="27">
        <f>+K26*3</f>
        <v>0</v>
      </c>
      <c r="M26" s="164"/>
      <c r="N26" s="163">
        <f>+M26*3</f>
        <v>0</v>
      </c>
      <c r="O26" s="28">
        <v>1</v>
      </c>
      <c r="P26" s="11">
        <f t="shared" si="0"/>
        <v>6</v>
      </c>
      <c r="Q26" s="218"/>
      <c r="R26" s="240">
        <f t="shared" si="1"/>
        <v>6</v>
      </c>
      <c r="S26" s="241"/>
      <c r="T26" s="5"/>
      <c r="U26" s="287" t="s">
        <v>347</v>
      </c>
      <c r="Z26" s="282">
        <f t="shared" si="2"/>
        <v>43682</v>
      </c>
      <c r="AA26" s="318"/>
      <c r="AB26" s="281"/>
      <c r="AC26" s="65"/>
    </row>
    <row r="27" spans="1:29">
      <c r="A27" s="215"/>
      <c r="H27" s="83"/>
      <c r="I27" s="126" t="s">
        <v>61</v>
      </c>
      <c r="J27" s="80" t="s">
        <v>137</v>
      </c>
      <c r="K27" s="226"/>
      <c r="L27" s="227">
        <f>3*K27</f>
        <v>0</v>
      </c>
      <c r="M27" s="162"/>
      <c r="N27" s="163">
        <f>3*M27</f>
        <v>0</v>
      </c>
      <c r="O27" s="72"/>
      <c r="P27" s="75">
        <f t="shared" si="0"/>
        <v>0</v>
      </c>
      <c r="Q27" s="217"/>
      <c r="R27" s="11">
        <f t="shared" si="1"/>
        <v>0</v>
      </c>
      <c r="S27" s="106"/>
      <c r="T27" s="5"/>
      <c r="Z27" s="282">
        <f t="shared" si="2"/>
        <v>43683</v>
      </c>
      <c r="AA27" s="319"/>
      <c r="AB27" s="281"/>
      <c r="AC27" s="66"/>
    </row>
    <row r="28" spans="1:29">
      <c r="A28" s="215"/>
      <c r="H28" s="242" t="s">
        <v>170</v>
      </c>
      <c r="I28" s="188" t="s">
        <v>14</v>
      </c>
      <c r="J28" s="189" t="s">
        <v>125</v>
      </c>
      <c r="K28" s="192"/>
      <c r="L28" s="193">
        <f>+K28*3</f>
        <v>0</v>
      </c>
      <c r="M28" s="192"/>
      <c r="N28" s="193">
        <f>3*M28</f>
        <v>0</v>
      </c>
      <c r="O28" s="192">
        <v>25</v>
      </c>
      <c r="P28" s="193">
        <f t="shared" si="0"/>
        <v>150</v>
      </c>
      <c r="Q28" s="221"/>
      <c r="R28" s="329">
        <f t="shared" si="1"/>
        <v>150</v>
      </c>
      <c r="S28" s="107"/>
      <c r="T28" s="5"/>
      <c r="Z28" s="314" t="s">
        <v>150</v>
      </c>
      <c r="AA28" s="315">
        <f>SUM(AA17:AA27)</f>
        <v>4</v>
      </c>
      <c r="AB28" s="316" t="s">
        <v>148</v>
      </c>
      <c r="AC28" s="68"/>
    </row>
    <row r="29" spans="1:29">
      <c r="A29" s="215"/>
      <c r="H29" s="83"/>
      <c r="I29" s="126" t="s">
        <v>79</v>
      </c>
      <c r="J29" s="82" t="s">
        <v>110</v>
      </c>
      <c r="K29" s="228"/>
      <c r="L29" s="227">
        <v>0</v>
      </c>
      <c r="M29" s="164"/>
      <c r="N29" s="163">
        <v>0</v>
      </c>
      <c r="O29" s="76">
        <v>27</v>
      </c>
      <c r="P29" s="75">
        <f t="shared" si="0"/>
        <v>150</v>
      </c>
      <c r="Q29" s="217"/>
      <c r="R29" s="11">
        <f t="shared" si="1"/>
        <v>150</v>
      </c>
      <c r="S29" s="106"/>
      <c r="T29" s="5"/>
      <c r="Z29" s="184"/>
      <c r="AA29" s="171">
        <f>SUM(AB17:AB27)</f>
        <v>15</v>
      </c>
      <c r="AB29" s="185" t="s">
        <v>149</v>
      </c>
      <c r="AC29" s="69"/>
    </row>
    <row r="30" spans="1:29" ht="16.5">
      <c r="H30" s="83"/>
      <c r="I30" s="269" t="s">
        <v>214</v>
      </c>
      <c r="J30" s="270" t="s">
        <v>215</v>
      </c>
      <c r="K30" s="271"/>
      <c r="L30" s="272">
        <v>0</v>
      </c>
      <c r="M30" s="271"/>
      <c r="N30" s="272">
        <f>3*M30</f>
        <v>0</v>
      </c>
      <c r="O30" s="271"/>
      <c r="P30" s="272">
        <f t="shared" si="0"/>
        <v>0</v>
      </c>
      <c r="Q30" s="273"/>
      <c r="R30" s="272">
        <f t="shared" si="1"/>
        <v>0</v>
      </c>
      <c r="S30" s="274"/>
      <c r="T30" s="5"/>
      <c r="Z30" s="186" t="s">
        <v>160</v>
      </c>
      <c r="AA30" s="284">
        <f>+AA29/AA28</f>
        <v>3.75</v>
      </c>
      <c r="AB30" s="173" t="s">
        <v>150</v>
      </c>
      <c r="AC30" s="65"/>
    </row>
    <row r="31" spans="1:29">
      <c r="A31" s="237"/>
      <c r="B31" s="237"/>
      <c r="C31" s="237"/>
      <c r="D31" s="238"/>
      <c r="E31" s="237"/>
      <c r="F31" s="239"/>
      <c r="G31" s="237"/>
      <c r="H31" s="142"/>
      <c r="I31" s="25" t="s">
        <v>45</v>
      </c>
      <c r="J31" s="96" t="s">
        <v>133</v>
      </c>
      <c r="K31" s="29"/>
      <c r="L31" s="27">
        <f>+K31*3</f>
        <v>0</v>
      </c>
      <c r="M31" s="164"/>
      <c r="N31" s="163">
        <f>+M31*3</f>
        <v>0</v>
      </c>
      <c r="O31" s="28">
        <v>25</v>
      </c>
      <c r="P31" s="11">
        <f t="shared" si="0"/>
        <v>150</v>
      </c>
      <c r="Q31" s="218"/>
      <c r="R31" s="240">
        <f t="shared" si="1"/>
        <v>150</v>
      </c>
      <c r="S31" s="241"/>
      <c r="T31" s="5"/>
    </row>
    <row r="32" spans="1:29">
      <c r="A32" s="215"/>
      <c r="H32" s="142"/>
      <c r="I32" s="25" t="s">
        <v>13</v>
      </c>
      <c r="J32" s="81" t="s">
        <v>319</v>
      </c>
      <c r="K32" s="228"/>
      <c r="L32" s="227">
        <f>3*K32</f>
        <v>0</v>
      </c>
      <c r="M32" s="164"/>
      <c r="N32" s="163">
        <v>0</v>
      </c>
      <c r="O32" s="28">
        <v>3</v>
      </c>
      <c r="P32" s="75">
        <f t="shared" si="0"/>
        <v>18</v>
      </c>
      <c r="Q32" s="218"/>
      <c r="R32" s="57">
        <f t="shared" si="1"/>
        <v>18</v>
      </c>
      <c r="S32" s="107"/>
      <c r="T32" s="5"/>
    </row>
    <row r="33" spans="1:32">
      <c r="A33" s="215"/>
      <c r="H33" s="95"/>
      <c r="I33" s="25" t="s">
        <v>31</v>
      </c>
      <c r="J33" s="81" t="s">
        <v>127</v>
      </c>
      <c r="K33" s="228"/>
      <c r="L33" s="227">
        <v>0</v>
      </c>
      <c r="M33" s="164"/>
      <c r="N33" s="163">
        <v>0</v>
      </c>
      <c r="O33" s="28">
        <v>28</v>
      </c>
      <c r="P33" s="75">
        <f t="shared" si="0"/>
        <v>150</v>
      </c>
      <c r="Q33" s="218"/>
      <c r="R33" s="11">
        <f t="shared" si="1"/>
        <v>150</v>
      </c>
      <c r="S33" s="107"/>
      <c r="T33" s="5"/>
    </row>
    <row r="34" spans="1:32" s="4" customFormat="1">
      <c r="A34" s="215"/>
      <c r="B34"/>
      <c r="C34"/>
      <c r="D34" s="1"/>
      <c r="E34"/>
      <c r="F34" s="2"/>
      <c r="G34"/>
      <c r="H34" s="95"/>
      <c r="I34" s="25" t="s">
        <v>30</v>
      </c>
      <c r="J34" s="81" t="s">
        <v>126</v>
      </c>
      <c r="K34" s="228"/>
      <c r="L34" s="227">
        <f>+K34*3</f>
        <v>0</v>
      </c>
      <c r="M34" s="164"/>
      <c r="N34" s="163">
        <f>+M34*3</f>
        <v>0</v>
      </c>
      <c r="O34" s="28">
        <v>3</v>
      </c>
      <c r="P34" s="75">
        <f t="shared" si="0"/>
        <v>18</v>
      </c>
      <c r="Q34" s="218"/>
      <c r="R34" s="320">
        <f t="shared" si="1"/>
        <v>18</v>
      </c>
      <c r="S34" s="107"/>
      <c r="T34" s="5"/>
      <c r="U34"/>
      <c r="V34" s="46"/>
      <c r="W34"/>
      <c r="X34"/>
      <c r="Y34"/>
      <c r="Z34"/>
      <c r="AA34"/>
      <c r="AB34"/>
      <c r="AC34"/>
      <c r="AD34"/>
      <c r="AE34"/>
      <c r="AF34"/>
    </row>
    <row r="35" spans="1:32">
      <c r="A35" s="215"/>
      <c r="H35" s="83"/>
      <c r="I35" s="269" t="s">
        <v>186</v>
      </c>
      <c r="J35" s="270" t="s">
        <v>187</v>
      </c>
      <c r="K35" s="271"/>
      <c r="L35" s="272">
        <v>0</v>
      </c>
      <c r="M35" s="271"/>
      <c r="N35" s="272">
        <v>0</v>
      </c>
      <c r="O35" s="271">
        <v>1</v>
      </c>
      <c r="P35" s="272">
        <f t="shared" si="0"/>
        <v>6</v>
      </c>
      <c r="Q35" s="273"/>
      <c r="R35" s="272">
        <f t="shared" si="1"/>
        <v>6</v>
      </c>
      <c r="S35" s="274"/>
      <c r="T35" s="5"/>
    </row>
    <row r="36" spans="1:32">
      <c r="A36" s="215"/>
      <c r="H36" s="83"/>
      <c r="I36" s="25" t="s">
        <v>17</v>
      </c>
      <c r="J36" s="81" t="s">
        <v>123</v>
      </c>
      <c r="K36" s="228"/>
      <c r="L36" s="227">
        <f>+K36*3</f>
        <v>0</v>
      </c>
      <c r="M36" s="164"/>
      <c r="N36" s="163">
        <v>0</v>
      </c>
      <c r="O36" s="74">
        <v>25</v>
      </c>
      <c r="P36" s="75">
        <f t="shared" si="0"/>
        <v>150</v>
      </c>
      <c r="Q36" s="218"/>
      <c r="R36" s="11">
        <f t="shared" si="1"/>
        <v>150</v>
      </c>
      <c r="S36" s="107"/>
      <c r="T36" s="5"/>
    </row>
    <row r="37" spans="1:32">
      <c r="A37" s="215"/>
      <c r="H37" s="83"/>
      <c r="I37" s="25" t="s">
        <v>60</v>
      </c>
      <c r="J37" s="81" t="s">
        <v>132</v>
      </c>
      <c r="K37" s="228"/>
      <c r="L37" s="227">
        <v>0</v>
      </c>
      <c r="M37" s="164"/>
      <c r="N37" s="163">
        <v>0</v>
      </c>
      <c r="O37" s="74"/>
      <c r="P37" s="75">
        <f>IF(O37&gt;25,150,(O37)*6)</f>
        <v>0</v>
      </c>
      <c r="Q37" s="218"/>
      <c r="R37" s="11">
        <f>+L37+N37+P37+Q37</f>
        <v>0</v>
      </c>
      <c r="S37" s="107"/>
      <c r="T37" s="5"/>
    </row>
    <row r="38" spans="1:32">
      <c r="H38" s="142"/>
      <c r="I38" s="25" t="s">
        <v>233</v>
      </c>
      <c r="J38" s="81" t="s">
        <v>234</v>
      </c>
      <c r="K38" s="228"/>
      <c r="L38" s="227">
        <v>0</v>
      </c>
      <c r="M38" s="164"/>
      <c r="N38" s="163">
        <f>3*M38</f>
        <v>0</v>
      </c>
      <c r="O38" s="28"/>
      <c r="P38" s="75">
        <f t="shared" si="0"/>
        <v>0</v>
      </c>
      <c r="Q38" s="218"/>
      <c r="R38" s="57">
        <f t="shared" si="1"/>
        <v>0</v>
      </c>
      <c r="S38" s="107"/>
      <c r="T38" s="5"/>
      <c r="AF38" s="4"/>
    </row>
    <row r="39" spans="1:32">
      <c r="A39" s="215"/>
      <c r="H39" s="242" t="s">
        <v>170</v>
      </c>
      <c r="I39" s="188" t="s">
        <v>8</v>
      </c>
      <c r="J39" s="189" t="s">
        <v>120</v>
      </c>
      <c r="K39" s="192"/>
      <c r="L39" s="193">
        <v>0</v>
      </c>
      <c r="M39" s="192"/>
      <c r="N39" s="193">
        <v>0</v>
      </c>
      <c r="O39" s="192">
        <v>37</v>
      </c>
      <c r="P39" s="193">
        <f t="shared" si="0"/>
        <v>150</v>
      </c>
      <c r="Q39" s="221"/>
      <c r="R39" s="329">
        <f t="shared" si="1"/>
        <v>150</v>
      </c>
      <c r="S39" s="107"/>
      <c r="T39" s="5"/>
      <c r="U39">
        <v>67.040000000000006</v>
      </c>
    </row>
    <row r="40" spans="1:32">
      <c r="A40" s="215"/>
      <c r="H40" s="83"/>
      <c r="I40" s="25" t="s">
        <v>11</v>
      </c>
      <c r="J40" s="96" t="s">
        <v>130</v>
      </c>
      <c r="K40" s="228"/>
      <c r="L40" s="227">
        <f>+K40*3</f>
        <v>0</v>
      </c>
      <c r="M40" s="164"/>
      <c r="N40" s="163">
        <f>+M40*3</f>
        <v>0</v>
      </c>
      <c r="O40" s="74">
        <v>26</v>
      </c>
      <c r="P40" s="75">
        <f t="shared" si="0"/>
        <v>150</v>
      </c>
      <c r="Q40" s="220"/>
      <c r="R40" s="11">
        <f t="shared" si="1"/>
        <v>150</v>
      </c>
      <c r="S40" s="107"/>
      <c r="T40" s="5"/>
      <c r="U40">
        <v>268.17</v>
      </c>
    </row>
    <row r="41" spans="1:32">
      <c r="H41" s="83"/>
      <c r="I41" s="25" t="s">
        <v>44</v>
      </c>
      <c r="J41" s="96" t="s">
        <v>124</v>
      </c>
      <c r="K41" s="228"/>
      <c r="L41" s="227">
        <f>+K41*3</f>
        <v>0</v>
      </c>
      <c r="M41" s="164"/>
      <c r="N41" s="163">
        <f>+M41*3</f>
        <v>0</v>
      </c>
      <c r="O41" s="113"/>
      <c r="P41" s="75">
        <f t="shared" si="0"/>
        <v>0</v>
      </c>
      <c r="Q41" s="218"/>
      <c r="R41" s="11">
        <f t="shared" si="1"/>
        <v>0</v>
      </c>
      <c r="S41" s="107"/>
      <c r="T41" s="5"/>
      <c r="U41">
        <f>+U40+U39</f>
        <v>335.21000000000004</v>
      </c>
    </row>
    <row r="42" spans="1:32">
      <c r="H42" s="83"/>
      <c r="I42" s="25" t="s">
        <v>6</v>
      </c>
      <c r="J42" s="96" t="s">
        <v>116</v>
      </c>
      <c r="K42" s="228"/>
      <c r="L42" s="227">
        <f>+K42*3</f>
        <v>0</v>
      </c>
      <c r="M42" s="164"/>
      <c r="N42" s="163">
        <f>+M42*3</f>
        <v>0</v>
      </c>
      <c r="O42" s="74">
        <v>26</v>
      </c>
      <c r="P42" s="75">
        <f t="shared" si="0"/>
        <v>150</v>
      </c>
      <c r="Q42" s="220"/>
      <c r="R42" s="11">
        <f t="shared" si="1"/>
        <v>150</v>
      </c>
      <c r="S42" s="107"/>
      <c r="T42" s="5"/>
    </row>
    <row r="43" spans="1:32">
      <c r="H43" s="95"/>
      <c r="I43" s="25" t="s">
        <v>53</v>
      </c>
      <c r="J43" s="81" t="s">
        <v>135</v>
      </c>
      <c r="K43" s="228"/>
      <c r="L43" s="227">
        <v>0</v>
      </c>
      <c r="M43" s="164"/>
      <c r="N43" s="163">
        <v>0</v>
      </c>
      <c r="O43" s="28">
        <v>31</v>
      </c>
      <c r="P43" s="75">
        <f t="shared" si="0"/>
        <v>150</v>
      </c>
      <c r="Q43" s="218"/>
      <c r="R43" s="11">
        <f t="shared" si="1"/>
        <v>150</v>
      </c>
      <c r="S43" s="107"/>
      <c r="T43" s="5"/>
    </row>
    <row r="44" spans="1:32">
      <c r="H44" s="81"/>
      <c r="I44" s="120" t="s">
        <v>12</v>
      </c>
      <c r="J44" s="150" t="s">
        <v>114</v>
      </c>
      <c r="K44" s="232"/>
      <c r="L44" s="233">
        <v>0</v>
      </c>
      <c r="M44" s="165"/>
      <c r="N44" s="166">
        <f>3*M44</f>
        <v>0</v>
      </c>
      <c r="O44" s="122">
        <v>24</v>
      </c>
      <c r="P44" s="147">
        <f t="shared" si="0"/>
        <v>144</v>
      </c>
      <c r="Q44" s="222"/>
      <c r="R44" s="322">
        <f t="shared" si="1"/>
        <v>144</v>
      </c>
      <c r="S44" s="148"/>
      <c r="T44" s="5"/>
    </row>
    <row r="45" spans="1:32">
      <c r="I45" s="13"/>
      <c r="J45" s="14"/>
      <c r="K45" s="234">
        <f t="shared" ref="K45:S45" si="3">SUM(K5:K44)</f>
        <v>0</v>
      </c>
      <c r="L45" s="235">
        <f t="shared" si="3"/>
        <v>0</v>
      </c>
      <c r="M45" s="167">
        <f t="shared" si="3"/>
        <v>0</v>
      </c>
      <c r="N45" s="168">
        <f t="shared" si="3"/>
        <v>0</v>
      </c>
      <c r="O45" s="77">
        <f t="shared" si="3"/>
        <v>614</v>
      </c>
      <c r="P45" s="78">
        <f t="shared" si="3"/>
        <v>3060</v>
      </c>
      <c r="Q45" s="323">
        <f t="shared" si="3"/>
        <v>0</v>
      </c>
      <c r="R45" s="78">
        <f t="shared" si="3"/>
        <v>3060</v>
      </c>
      <c r="S45" s="102">
        <f t="shared" si="3"/>
        <v>0</v>
      </c>
      <c r="T45" s="5"/>
    </row>
    <row r="46" spans="1:32">
      <c r="J46" s="200">
        <f ca="1">TODAY()</f>
        <v>43825</v>
      </c>
      <c r="K46" s="41"/>
      <c r="M46" s="42"/>
      <c r="N46" s="41"/>
      <c r="O46" s="45" t="s">
        <v>81</v>
      </c>
      <c r="Q46" s="42"/>
      <c r="R46" s="45">
        <f>+R11+R15+R21+R25+R28+R39</f>
        <v>732</v>
      </c>
      <c r="T46" s="5"/>
      <c r="AC46">
        <v>4</v>
      </c>
    </row>
    <row r="47" spans="1:32" ht="15" customHeight="1">
      <c r="L47" s="43"/>
      <c r="M47" s="44"/>
      <c r="N47" s="125"/>
      <c r="O47" s="43" t="s">
        <v>91</v>
      </c>
      <c r="P47" s="114"/>
      <c r="Q47" s="110" t="s">
        <v>58</v>
      </c>
      <c r="R47" s="111">
        <f>+R45-R46</f>
        <v>2328</v>
      </c>
      <c r="S47" s="10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30" t="s">
        <v>359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31" t="s">
        <v>360</v>
      </c>
      <c r="P50" s="19"/>
      <c r="T50" s="5"/>
    </row>
    <row r="51" spans="9:29">
      <c r="I51" s="330" t="s">
        <v>361</v>
      </c>
      <c r="P51" s="19"/>
      <c r="T51" s="5"/>
    </row>
    <row r="52" spans="9:29">
      <c r="I52" s="330" t="s">
        <v>362</v>
      </c>
      <c r="P52" s="19"/>
      <c r="T52" s="5"/>
      <c r="V52" s="59"/>
      <c r="W52" s="60"/>
      <c r="X52" s="61"/>
    </row>
    <row r="53" spans="9:29">
      <c r="I53" s="330" t="s">
        <v>363</v>
      </c>
      <c r="P53" s="19"/>
      <c r="T53" s="5"/>
      <c r="U53" s="58"/>
      <c r="V53" s="59"/>
      <c r="W53" s="60"/>
      <c r="X53" s="61"/>
    </row>
    <row r="54" spans="9:29">
      <c r="I54" s="330" t="s">
        <v>364</v>
      </c>
      <c r="U54" s="58"/>
      <c r="V54" s="59"/>
      <c r="W54" s="62"/>
      <c r="X54" s="65"/>
    </row>
    <row r="55" spans="9:29">
      <c r="I55" s="330" t="s">
        <v>365</v>
      </c>
      <c r="U55" s="58"/>
      <c r="V55" s="59"/>
      <c r="W55" s="67"/>
      <c r="X55" s="60"/>
    </row>
    <row r="56" spans="9:29">
      <c r="I56" s="330" t="s">
        <v>366</v>
      </c>
      <c r="U56" s="58"/>
      <c r="V56" s="59"/>
      <c r="W56" s="60"/>
      <c r="X56" s="60"/>
    </row>
    <row r="57" spans="9:29">
      <c r="U57" s="58"/>
      <c r="V57" s="59"/>
      <c r="W57" s="60"/>
      <c r="X57" s="68"/>
    </row>
    <row r="58" spans="9:29">
      <c r="U58" s="58"/>
      <c r="V58" s="59"/>
      <c r="W58" s="60"/>
      <c r="X58" s="69"/>
    </row>
    <row r="59" spans="9:29">
      <c r="U59" s="58"/>
      <c r="V59" s="59"/>
      <c r="W59" s="60"/>
      <c r="X59" s="60"/>
    </row>
    <row r="60" spans="9:29">
      <c r="U60" s="58"/>
      <c r="V60" s="59"/>
      <c r="W60" s="60"/>
      <c r="X60" s="60"/>
    </row>
    <row r="61" spans="9:29">
      <c r="U61" s="58"/>
      <c r="V61" s="59"/>
      <c r="W61" s="62"/>
      <c r="X61" s="60"/>
    </row>
    <row r="62" spans="9:29">
      <c r="U62" s="58"/>
      <c r="V62" s="59"/>
      <c r="W62" s="62"/>
      <c r="X62" s="60"/>
    </row>
    <row r="63" spans="9:29">
      <c r="U63" s="64"/>
      <c r="V63" s="59"/>
      <c r="W63" s="60"/>
      <c r="X63" s="60"/>
    </row>
    <row r="64" spans="9:29">
      <c r="U64" s="58"/>
      <c r="V64" s="66"/>
      <c r="W64" s="67"/>
      <c r="X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  <row r="68" spans="21:23">
      <c r="U68" s="60"/>
      <c r="V68" s="59"/>
      <c r="W68" s="60"/>
    </row>
    <row r="69" spans="21:23">
      <c r="U69" s="60"/>
      <c r="V69" s="59"/>
      <c r="W69" s="60"/>
    </row>
    <row r="70" spans="21:23">
      <c r="U70" s="60"/>
      <c r="V70" s="59"/>
      <c r="W70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76" priority="2" operator="lessThanOrEqual">
      <formula>0</formula>
    </cfRule>
  </conditionalFormatting>
  <conditionalFormatting sqref="R5:R44">
    <cfRule type="cellIs" dxfId="75" priority="1" operator="greaterThan">
      <formula>0</formula>
    </cfRule>
  </conditionalFormatting>
  <printOptions horizontalCentered="1"/>
  <pageMargins left="0" right="0" top="0.47244094488188981" bottom="0" header="0" footer="0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70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K5" sqref="K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3.85546875" customWidth="1"/>
    <col min="9" max="9" width="7.42578125" customWidth="1"/>
    <col min="10" max="10" width="25.7109375" customWidth="1"/>
    <col min="11" max="11" width="1.7109375" customWidth="1"/>
    <col min="12" max="12" width="1.5703125" customWidth="1"/>
    <col min="13" max="13" width="6.85546875" customWidth="1"/>
    <col min="14" max="14" width="12.140625" customWidth="1"/>
    <col min="15" max="15" width="6.85546875" customWidth="1"/>
    <col min="16" max="16" width="12.140625" customWidth="1"/>
    <col min="17" max="17" width="7.7109375" customWidth="1"/>
    <col min="18" max="18" width="15.7109375" customWidth="1"/>
    <col min="19" max="19" width="2.7109375" style="103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5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>
      <c r="H2" s="83"/>
      <c r="I2" s="429" t="s">
        <v>344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285" t="s">
        <v>298</v>
      </c>
      <c r="O4" s="87" t="s">
        <v>15</v>
      </c>
      <c r="P4" s="87" t="s">
        <v>345</v>
      </c>
      <c r="Q4" s="99" t="s">
        <v>346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v>0</v>
      </c>
      <c r="O5" s="76">
        <v>48</v>
      </c>
      <c r="P5" s="75">
        <f t="shared" ref="P5:P44" si="0">IF(O5&gt;25,150,(O5)*6)</f>
        <v>150</v>
      </c>
      <c r="Q5" s="217"/>
      <c r="R5" s="11">
        <f t="shared" ref="R5:R44" si="1">+L5+N5+P5+Q5</f>
        <v>150</v>
      </c>
      <c r="S5" s="106"/>
      <c r="T5" s="5"/>
      <c r="U5" s="258">
        <v>972</v>
      </c>
      <c r="V5" s="259">
        <v>125.87</v>
      </c>
      <c r="W5" s="260">
        <v>846.13</v>
      </c>
      <c r="X5" s="242" t="s">
        <v>284</v>
      </c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26">
        <f>+V6+W6</f>
        <v>945.42918936806404</v>
      </c>
      <c r="V6" s="256">
        <f>+V5*W6/W5</f>
        <v>122.42918936806402</v>
      </c>
      <c r="W6" s="261">
        <v>823</v>
      </c>
      <c r="X6" s="36" t="s">
        <v>348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164"/>
      <c r="N7" s="163">
        <v>0</v>
      </c>
      <c r="O7" s="74"/>
      <c r="P7" s="75">
        <f t="shared" si="0"/>
        <v>0</v>
      </c>
      <c r="Q7" s="218"/>
      <c r="R7" s="320">
        <f t="shared" si="1"/>
        <v>0</v>
      </c>
      <c r="S7" s="106"/>
      <c r="T7" s="5"/>
      <c r="U7" s="32">
        <f>+U5-U6</f>
        <v>26.570810631935956</v>
      </c>
      <c r="V7" s="47"/>
      <c r="W7" s="33"/>
      <c r="X7" s="262" t="s">
        <v>59</v>
      </c>
    </row>
    <row r="8" spans="8:29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>
        <v>51</v>
      </c>
      <c r="P8" s="75">
        <f t="shared" si="0"/>
        <v>150</v>
      </c>
      <c r="Q8" s="328">
        <v>-26.57</v>
      </c>
      <c r="R8" s="320">
        <f t="shared" si="1"/>
        <v>123.43</v>
      </c>
      <c r="S8" s="138"/>
      <c r="T8" s="5"/>
      <c r="U8" s="34">
        <v>150</v>
      </c>
      <c r="V8" s="38">
        <f>+U8-U7</f>
        <v>123.42918936806404</v>
      </c>
      <c r="W8" s="39" t="s">
        <v>63</v>
      </c>
      <c r="X8" s="263">
        <f>150-V8</f>
        <v>26.570810631935956</v>
      </c>
    </row>
    <row r="9" spans="8:29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/>
      <c r="P9" s="75">
        <f t="shared" si="0"/>
        <v>0</v>
      </c>
      <c r="Q9" s="218"/>
      <c r="R9" s="11">
        <f t="shared" si="1"/>
        <v>0</v>
      </c>
      <c r="S9" s="107"/>
      <c r="T9" s="5"/>
      <c r="U9" s="10"/>
      <c r="X9" s="37"/>
    </row>
    <row r="10" spans="8:29" ht="15" customHeight="1">
      <c r="H10" s="95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28"/>
      <c r="P10" s="75">
        <f t="shared" si="0"/>
        <v>0</v>
      </c>
      <c r="Q10" s="218"/>
      <c r="R10" s="11">
        <f t="shared" si="1"/>
        <v>0</v>
      </c>
      <c r="S10" s="197"/>
      <c r="T10" s="5"/>
      <c r="U10" s="258">
        <v>988</v>
      </c>
      <c r="V10" s="259">
        <v>118.76</v>
      </c>
      <c r="W10" s="260">
        <v>869.24</v>
      </c>
      <c r="X10" s="242" t="s">
        <v>349</v>
      </c>
      <c r="Y10" s="266"/>
    </row>
    <row r="11" spans="8:29">
      <c r="H11" s="141"/>
      <c r="I11" s="126" t="s">
        <v>56</v>
      </c>
      <c r="J11" s="80" t="s">
        <v>136</v>
      </c>
      <c r="K11" s="226"/>
      <c r="L11" s="227">
        <v>0</v>
      </c>
      <c r="M11" s="162"/>
      <c r="N11" s="163">
        <f>2.7*M11</f>
        <v>0</v>
      </c>
      <c r="O11" s="74">
        <v>42</v>
      </c>
      <c r="P11" s="75">
        <f t="shared" si="0"/>
        <v>150</v>
      </c>
      <c r="Q11" s="217"/>
      <c r="R11" s="9">
        <f t="shared" si="1"/>
        <v>150</v>
      </c>
      <c r="S11" s="107"/>
      <c r="T11" s="5"/>
      <c r="U11" s="326">
        <f>+V11+W11</f>
        <v>935.44245547834896</v>
      </c>
      <c r="V11" s="256">
        <f>+V10*W11/W10</f>
        <v>112.44245547834892</v>
      </c>
      <c r="W11" s="261">
        <v>823</v>
      </c>
      <c r="X11" s="36" t="s">
        <v>348</v>
      </c>
    </row>
    <row r="12" spans="8:29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>
        <v>36</v>
      </c>
      <c r="P12" s="75">
        <f t="shared" si="0"/>
        <v>150</v>
      </c>
      <c r="Q12" s="218"/>
      <c r="R12" s="9">
        <f t="shared" si="1"/>
        <v>150</v>
      </c>
      <c r="S12" s="106"/>
      <c r="T12" s="5"/>
      <c r="U12" s="32">
        <f>+U10-U11</f>
        <v>52.557544521651039</v>
      </c>
      <c r="V12" s="47"/>
      <c r="W12" s="33"/>
      <c r="X12" s="262" t="s">
        <v>59</v>
      </c>
    </row>
    <row r="13" spans="8:29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97.442455478348961</v>
      </c>
      <c r="W13" s="39" t="s">
        <v>63</v>
      </c>
      <c r="X13" s="263">
        <f>150-V13</f>
        <v>52.557544521651039</v>
      </c>
    </row>
    <row r="14" spans="8:29">
      <c r="H14" s="83"/>
      <c r="I14" s="25" t="s">
        <v>20</v>
      </c>
      <c r="J14" s="81" t="s">
        <v>195</v>
      </c>
      <c r="K14" s="228"/>
      <c r="L14" s="227">
        <f>+K14*3</f>
        <v>0</v>
      </c>
      <c r="M14" s="164"/>
      <c r="N14" s="163">
        <f>+M14*3</f>
        <v>0</v>
      </c>
      <c r="O14" s="74">
        <v>42</v>
      </c>
      <c r="P14" s="75">
        <f t="shared" si="0"/>
        <v>150</v>
      </c>
      <c r="Q14" s="217"/>
      <c r="R14" s="9">
        <f t="shared" si="1"/>
        <v>150</v>
      </c>
      <c r="S14" s="107"/>
      <c r="T14" s="5"/>
      <c r="U14" s="10"/>
      <c r="X14" s="37"/>
    </row>
    <row r="15" spans="8:29">
      <c r="H15" s="251" t="s">
        <v>50</v>
      </c>
      <c r="I15" s="275" t="s">
        <v>272</v>
      </c>
      <c r="J15" s="276" t="s">
        <v>271</v>
      </c>
      <c r="K15" s="277"/>
      <c r="L15" s="278">
        <v>0</v>
      </c>
      <c r="M15" s="277">
        <v>13</v>
      </c>
      <c r="N15" s="278">
        <v>0</v>
      </c>
      <c r="O15" s="277"/>
      <c r="P15" s="278">
        <f t="shared" si="0"/>
        <v>0</v>
      </c>
      <c r="Q15" s="279"/>
      <c r="R15" s="278">
        <f t="shared" si="1"/>
        <v>0</v>
      </c>
      <c r="S15" s="280"/>
      <c r="T15" s="5"/>
      <c r="U15" s="258">
        <v>880</v>
      </c>
      <c r="V15" s="259">
        <v>114.4</v>
      </c>
      <c r="W15" s="327">
        <v>765.6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95"/>
      <c r="I16" s="25" t="s">
        <v>25</v>
      </c>
      <c r="J16" s="81" t="s">
        <v>118</v>
      </c>
      <c r="K16" s="228"/>
      <c r="L16" s="227">
        <f>+K16*3</f>
        <v>0</v>
      </c>
      <c r="M16" s="164"/>
      <c r="N16" s="163">
        <f>+M16*3</f>
        <v>0</v>
      </c>
      <c r="O16" s="28">
        <v>33</v>
      </c>
      <c r="P16" s="75">
        <f t="shared" si="0"/>
        <v>150</v>
      </c>
      <c r="Q16" s="218"/>
      <c r="R16" s="11">
        <f t="shared" si="1"/>
        <v>150</v>
      </c>
      <c r="S16" s="107"/>
      <c r="T16" s="5"/>
      <c r="U16" s="326">
        <f>+V16+W16</f>
        <v>827.58620689655174</v>
      </c>
      <c r="V16" s="256">
        <f>+V15*W16/W15</f>
        <v>107.58620689655172</v>
      </c>
      <c r="W16" s="261">
        <v>720</v>
      </c>
      <c r="X16" s="36" t="s">
        <v>350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164"/>
      <c r="N17" s="163">
        <f>+M17*3</f>
        <v>0</v>
      </c>
      <c r="O17" s="28">
        <v>52</v>
      </c>
      <c r="P17" s="75">
        <f t="shared" si="0"/>
        <v>150</v>
      </c>
      <c r="Q17" s="328">
        <v>-52.56</v>
      </c>
      <c r="R17" s="11">
        <f t="shared" si="1"/>
        <v>97.44</v>
      </c>
      <c r="S17" s="107"/>
      <c r="T17" s="5"/>
      <c r="U17" s="32">
        <f>+U15-U16</f>
        <v>52.413793103448256</v>
      </c>
      <c r="V17" s="47"/>
      <c r="W17" s="33"/>
      <c r="X17" s="262" t="s">
        <v>59</v>
      </c>
      <c r="Z17" s="282">
        <v>43673</v>
      </c>
      <c r="AA17" s="317">
        <v>1</v>
      </c>
      <c r="AB17" s="281">
        <v>3</v>
      </c>
      <c r="AC17" s="174" t="s">
        <v>157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162"/>
      <c r="N18" s="163">
        <f>5*M18</f>
        <v>0</v>
      </c>
      <c r="O18" s="76">
        <v>39</v>
      </c>
      <c r="P18" s="75">
        <f t="shared" si="0"/>
        <v>150</v>
      </c>
      <c r="Q18" s="217"/>
      <c r="R18" s="11">
        <f t="shared" si="1"/>
        <v>150</v>
      </c>
      <c r="S18" s="106"/>
      <c r="T18" s="5"/>
      <c r="U18" s="34">
        <v>150</v>
      </c>
      <c r="V18" s="38">
        <f>+U18-U17</f>
        <v>97.586206896551744</v>
      </c>
      <c r="W18" s="39" t="s">
        <v>63</v>
      </c>
      <c r="X18" s="263">
        <f>150-V18</f>
        <v>52.413793103448256</v>
      </c>
      <c r="Z18" s="282">
        <f>1+Z17</f>
        <v>43674</v>
      </c>
      <c r="AA18" s="318">
        <v>1</v>
      </c>
      <c r="AB18" s="281">
        <v>5</v>
      </c>
      <c r="AC18" s="33" t="s">
        <v>156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164"/>
      <c r="N19" s="163">
        <f>+M19*3</f>
        <v>0</v>
      </c>
      <c r="O19" s="74">
        <v>38</v>
      </c>
      <c r="P19" s="75">
        <f t="shared" si="0"/>
        <v>150</v>
      </c>
      <c r="Q19" s="217"/>
      <c r="R19" s="9">
        <f t="shared" si="1"/>
        <v>150</v>
      </c>
      <c r="S19" s="107"/>
      <c r="T19" s="5"/>
      <c r="U19" s="10"/>
      <c r="X19" s="37"/>
      <c r="Z19" s="282">
        <f t="shared" ref="Z19:Z27" si="2">1+Z18</f>
        <v>43675</v>
      </c>
      <c r="AA19" s="318">
        <v>1</v>
      </c>
      <c r="AB19" s="281">
        <v>5</v>
      </c>
      <c r="AC19" s="33" t="s">
        <v>151</v>
      </c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164">
        <v>19</v>
      </c>
      <c r="N20" s="163">
        <f>3*M20</f>
        <v>57</v>
      </c>
      <c r="O20" s="74"/>
      <c r="P20" s="75">
        <f t="shared" si="0"/>
        <v>0</v>
      </c>
      <c r="Q20" s="217"/>
      <c r="R20" s="9">
        <f t="shared" si="1"/>
        <v>57</v>
      </c>
      <c r="S20" s="107"/>
      <c r="T20" s="5"/>
      <c r="U20" s="258">
        <v>900</v>
      </c>
      <c r="V20" s="259">
        <f>+U20*0.13</f>
        <v>117</v>
      </c>
      <c r="W20" s="327">
        <f>+V20+U20</f>
        <v>1017</v>
      </c>
      <c r="X20" s="100"/>
      <c r="Y20" s="266"/>
      <c r="Z20" s="282">
        <f t="shared" si="2"/>
        <v>43676</v>
      </c>
      <c r="AA20" s="318">
        <v>1</v>
      </c>
      <c r="AB20" s="281">
        <v>2</v>
      </c>
      <c r="AC20" s="33" t="s">
        <v>152</v>
      </c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277"/>
      <c r="N21" s="278">
        <v>0</v>
      </c>
      <c r="O21" s="277">
        <v>44</v>
      </c>
      <c r="P21" s="278">
        <f t="shared" si="0"/>
        <v>150</v>
      </c>
      <c r="Q21" s="279"/>
      <c r="R21" s="278">
        <f t="shared" si="1"/>
        <v>150</v>
      </c>
      <c r="S21" s="280"/>
      <c r="T21" s="5"/>
      <c r="U21" s="326">
        <f>+V21+W21</f>
        <v>802.83185840707961</v>
      </c>
      <c r="V21" s="256">
        <f>+V20*W21/W20</f>
        <v>82.83185840707965</v>
      </c>
      <c r="W21" s="261">
        <v>720</v>
      </c>
      <c r="X21" s="36" t="s">
        <v>350</v>
      </c>
      <c r="Z21" s="282">
        <f t="shared" si="2"/>
        <v>43677</v>
      </c>
      <c r="AA21" s="318"/>
      <c r="AB21" s="281"/>
      <c r="AC21" s="33" t="s">
        <v>153</v>
      </c>
    </row>
    <row r="22" spans="1:29" ht="15.75">
      <c r="A22" s="215"/>
      <c r="H22" s="142"/>
      <c r="I22" s="25" t="s">
        <v>4</v>
      </c>
      <c r="J22" s="81" t="s">
        <v>111</v>
      </c>
      <c r="K22" s="228"/>
      <c r="L22" s="227">
        <v>0</v>
      </c>
      <c r="M22" s="164">
        <v>17</v>
      </c>
      <c r="N22" s="163">
        <f>+M22*3</f>
        <v>51</v>
      </c>
      <c r="O22" s="28"/>
      <c r="P22" s="75">
        <f t="shared" si="0"/>
        <v>0</v>
      </c>
      <c r="Q22" s="218"/>
      <c r="R22" s="321">
        <f t="shared" si="1"/>
        <v>51</v>
      </c>
      <c r="S22" s="107"/>
      <c r="T22" s="5"/>
      <c r="U22" s="32">
        <f>+U20-U21</f>
        <v>97.168141592920392</v>
      </c>
      <c r="V22" s="47"/>
      <c r="W22" s="33"/>
      <c r="X22" s="262" t="s">
        <v>59</v>
      </c>
      <c r="Z22" s="282">
        <f t="shared" si="2"/>
        <v>43678</v>
      </c>
      <c r="AA22" s="318"/>
      <c r="AB22" s="281"/>
      <c r="AC22" s="33" t="s">
        <v>154</v>
      </c>
    </row>
    <row r="23" spans="1:29" ht="15.75">
      <c r="A23" s="215"/>
      <c r="H23" s="142"/>
      <c r="I23" s="25" t="s">
        <v>9</v>
      </c>
      <c r="J23" s="81" t="s">
        <v>128</v>
      </c>
      <c r="K23" s="228"/>
      <c r="L23" s="227">
        <v>0</v>
      </c>
      <c r="M23" s="164">
        <v>18</v>
      </c>
      <c r="N23" s="163">
        <f>+M23*3</f>
        <v>54</v>
      </c>
      <c r="O23" s="28"/>
      <c r="P23" s="75">
        <f t="shared" si="0"/>
        <v>0</v>
      </c>
      <c r="Q23" s="218"/>
      <c r="R23" s="321">
        <f t="shared" si="1"/>
        <v>54</v>
      </c>
      <c r="S23" s="107"/>
      <c r="T23" s="5"/>
      <c r="U23" s="34">
        <v>150</v>
      </c>
      <c r="V23" s="38">
        <f>+U23-U22</f>
        <v>52.831858407079608</v>
      </c>
      <c r="W23" s="39" t="s">
        <v>63</v>
      </c>
      <c r="X23" s="263">
        <f>150-V23</f>
        <v>97.168141592920392</v>
      </c>
      <c r="Z23" s="282">
        <f t="shared" si="2"/>
        <v>43679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164">
        <v>12</v>
      </c>
      <c r="N24" s="163">
        <v>0</v>
      </c>
      <c r="O24" s="28"/>
      <c r="P24" s="11">
        <f t="shared" si="0"/>
        <v>0</v>
      </c>
      <c r="Q24" s="218">
        <v>10</v>
      </c>
      <c r="R24" s="240">
        <f t="shared" si="1"/>
        <v>10</v>
      </c>
      <c r="S24" s="241"/>
      <c r="T24" s="5"/>
      <c r="U24" s="10"/>
      <c r="X24" s="37"/>
      <c r="Z24" s="282">
        <f t="shared" si="2"/>
        <v>43680</v>
      </c>
      <c r="AA24" s="318"/>
      <c r="AB24" s="281"/>
      <c r="AC24" s="61"/>
    </row>
    <row r="25" spans="1:29">
      <c r="H25" s="251" t="s">
        <v>50</v>
      </c>
      <c r="I25" s="275" t="s">
        <v>328</v>
      </c>
      <c r="J25" s="276" t="s">
        <v>329</v>
      </c>
      <c r="K25" s="277"/>
      <c r="L25" s="278">
        <v>0</v>
      </c>
      <c r="M25" s="277"/>
      <c r="N25" s="278">
        <v>0</v>
      </c>
      <c r="O25" s="277"/>
      <c r="P25" s="278">
        <f t="shared" si="0"/>
        <v>0</v>
      </c>
      <c r="Q25" s="279"/>
      <c r="R25" s="278">
        <f t="shared" si="1"/>
        <v>0</v>
      </c>
      <c r="S25" s="280"/>
      <c r="T25" s="5"/>
      <c r="Z25" s="282">
        <f t="shared" si="2"/>
        <v>43681</v>
      </c>
      <c r="AA25" s="318"/>
      <c r="AB25" s="281"/>
      <c r="AC25" s="61"/>
    </row>
    <row r="26" spans="1:29">
      <c r="A26" s="237"/>
      <c r="B26" s="237"/>
      <c r="C26" s="237"/>
      <c r="D26" s="238"/>
      <c r="E26" s="237"/>
      <c r="F26" s="239"/>
      <c r="G26" s="237"/>
      <c r="H26" s="142"/>
      <c r="I26" s="25" t="s">
        <v>51</v>
      </c>
      <c r="J26" s="96" t="s">
        <v>134</v>
      </c>
      <c r="K26" s="29"/>
      <c r="L26" s="27">
        <f>+K26*3</f>
        <v>0</v>
      </c>
      <c r="M26" s="164"/>
      <c r="N26" s="163">
        <f>+M26*3</f>
        <v>0</v>
      </c>
      <c r="O26" s="28">
        <v>46</v>
      </c>
      <c r="P26" s="11">
        <f t="shared" si="0"/>
        <v>150</v>
      </c>
      <c r="Q26" s="218"/>
      <c r="R26" s="240">
        <f t="shared" si="1"/>
        <v>150</v>
      </c>
      <c r="S26" s="241"/>
      <c r="T26" s="5"/>
      <c r="U26" s="287" t="s">
        <v>347</v>
      </c>
      <c r="Z26" s="282">
        <f t="shared" si="2"/>
        <v>43682</v>
      </c>
      <c r="AA26" s="318"/>
      <c r="AB26" s="281"/>
      <c r="AC26" s="65"/>
    </row>
    <row r="27" spans="1:29">
      <c r="A27" s="215"/>
      <c r="H27" s="83"/>
      <c r="I27" s="126" t="s">
        <v>61</v>
      </c>
      <c r="J27" s="80" t="s">
        <v>137</v>
      </c>
      <c r="K27" s="226"/>
      <c r="L27" s="227">
        <f>3*K27</f>
        <v>0</v>
      </c>
      <c r="M27" s="162">
        <v>17</v>
      </c>
      <c r="N27" s="163">
        <f>3*M27</f>
        <v>51</v>
      </c>
      <c r="O27" s="72"/>
      <c r="P27" s="75">
        <f t="shared" si="0"/>
        <v>0</v>
      </c>
      <c r="Q27" s="217">
        <v>10</v>
      </c>
      <c r="R27" s="11">
        <f t="shared" si="1"/>
        <v>61</v>
      </c>
      <c r="S27" s="106"/>
      <c r="T27" s="5"/>
      <c r="Z27" s="282">
        <f t="shared" si="2"/>
        <v>43683</v>
      </c>
      <c r="AA27" s="319"/>
      <c r="AB27" s="281"/>
      <c r="AC27" s="66"/>
    </row>
    <row r="28" spans="1:29">
      <c r="A28" s="215"/>
      <c r="H28" s="83"/>
      <c r="I28" s="25" t="s">
        <v>14</v>
      </c>
      <c r="J28" s="96" t="s">
        <v>125</v>
      </c>
      <c r="K28" s="228"/>
      <c r="L28" s="227">
        <f>+K28*3</f>
        <v>0</v>
      </c>
      <c r="M28" s="164">
        <v>16</v>
      </c>
      <c r="N28" s="163">
        <f>3*M28</f>
        <v>48</v>
      </c>
      <c r="O28" s="74"/>
      <c r="P28" s="75">
        <f t="shared" si="0"/>
        <v>0</v>
      </c>
      <c r="Q28" s="218"/>
      <c r="R28" s="320">
        <f t="shared" si="1"/>
        <v>48</v>
      </c>
      <c r="S28" s="107"/>
      <c r="T28" s="5"/>
      <c r="Z28" s="314" t="s">
        <v>150</v>
      </c>
      <c r="AA28" s="315">
        <f>SUM(AA17:AA27)</f>
        <v>4</v>
      </c>
      <c r="AB28" s="316" t="s">
        <v>148</v>
      </c>
      <c r="AC28" s="68"/>
    </row>
    <row r="29" spans="1:29">
      <c r="A29" s="215"/>
      <c r="H29" s="83"/>
      <c r="I29" s="126" t="s">
        <v>79</v>
      </c>
      <c r="J29" s="82" t="s">
        <v>110</v>
      </c>
      <c r="K29" s="228"/>
      <c r="L29" s="227">
        <v>0</v>
      </c>
      <c r="M29" s="164"/>
      <c r="N29" s="163">
        <v>0</v>
      </c>
      <c r="O29" s="76"/>
      <c r="P29" s="75">
        <f t="shared" si="0"/>
        <v>0</v>
      </c>
      <c r="Q29" s="217"/>
      <c r="R29" s="11">
        <f t="shared" si="1"/>
        <v>0</v>
      </c>
      <c r="S29" s="106"/>
      <c r="T29" s="5"/>
      <c r="Z29" s="184"/>
      <c r="AA29" s="171">
        <f>SUM(AB17:AB27)</f>
        <v>15</v>
      </c>
      <c r="AB29" s="185" t="s">
        <v>149</v>
      </c>
      <c r="AC29" s="69"/>
    </row>
    <row r="30" spans="1:29" ht="16.5">
      <c r="H30" s="83"/>
      <c r="I30" s="269" t="s">
        <v>214</v>
      </c>
      <c r="J30" s="270" t="s">
        <v>215</v>
      </c>
      <c r="K30" s="271"/>
      <c r="L30" s="272">
        <v>0</v>
      </c>
      <c r="M30" s="271"/>
      <c r="N30" s="272">
        <f>3*M30</f>
        <v>0</v>
      </c>
      <c r="O30" s="271">
        <v>41</v>
      </c>
      <c r="P30" s="272">
        <f t="shared" si="0"/>
        <v>150</v>
      </c>
      <c r="Q30" s="273"/>
      <c r="R30" s="272">
        <f t="shared" si="1"/>
        <v>150</v>
      </c>
      <c r="S30" s="274"/>
      <c r="T30" s="5"/>
      <c r="Z30" s="186" t="s">
        <v>160</v>
      </c>
      <c r="AA30" s="284">
        <f>+AA29/AA28</f>
        <v>3.75</v>
      </c>
      <c r="AB30" s="173" t="s">
        <v>150</v>
      </c>
      <c r="AC30" s="65"/>
    </row>
    <row r="31" spans="1:29">
      <c r="A31" s="237"/>
      <c r="B31" s="237"/>
      <c r="C31" s="237"/>
      <c r="D31" s="238"/>
      <c r="E31" s="237"/>
      <c r="F31" s="239"/>
      <c r="G31" s="237"/>
      <c r="H31" s="142"/>
      <c r="I31" s="25" t="s">
        <v>45</v>
      </c>
      <c r="J31" s="96" t="s">
        <v>133</v>
      </c>
      <c r="K31" s="29"/>
      <c r="L31" s="27">
        <f>+K31*3</f>
        <v>0</v>
      </c>
      <c r="M31" s="164"/>
      <c r="N31" s="163">
        <f>+M31*3</f>
        <v>0</v>
      </c>
      <c r="O31" s="28"/>
      <c r="P31" s="11">
        <f t="shared" si="0"/>
        <v>0</v>
      </c>
      <c r="Q31" s="218"/>
      <c r="R31" s="240">
        <f t="shared" si="1"/>
        <v>0</v>
      </c>
      <c r="S31" s="241"/>
      <c r="T31" s="5"/>
    </row>
    <row r="32" spans="1:29">
      <c r="A32" s="215"/>
      <c r="H32" s="142"/>
      <c r="I32" s="25" t="s">
        <v>13</v>
      </c>
      <c r="J32" s="81" t="s">
        <v>319</v>
      </c>
      <c r="K32" s="228"/>
      <c r="L32" s="227">
        <f>3*K32</f>
        <v>0</v>
      </c>
      <c r="M32" s="164"/>
      <c r="N32" s="163">
        <v>0</v>
      </c>
      <c r="O32" s="28">
        <v>42</v>
      </c>
      <c r="P32" s="75">
        <f t="shared" si="0"/>
        <v>150</v>
      </c>
      <c r="Q32" s="218"/>
      <c r="R32" s="57">
        <f t="shared" si="1"/>
        <v>150</v>
      </c>
      <c r="S32" s="107"/>
      <c r="T32" s="5"/>
    </row>
    <row r="33" spans="1:32">
      <c r="A33" s="215"/>
      <c r="H33" s="95"/>
      <c r="I33" s="25" t="s">
        <v>31</v>
      </c>
      <c r="J33" s="81" t="s">
        <v>127</v>
      </c>
      <c r="K33" s="228"/>
      <c r="L33" s="227">
        <v>0</v>
      </c>
      <c r="M33" s="164"/>
      <c r="N33" s="163">
        <v>0</v>
      </c>
      <c r="O33" s="28">
        <v>38</v>
      </c>
      <c r="P33" s="75">
        <f t="shared" si="0"/>
        <v>150</v>
      </c>
      <c r="Q33" s="218"/>
      <c r="R33" s="11">
        <f t="shared" si="1"/>
        <v>150</v>
      </c>
      <c r="S33" s="107"/>
      <c r="T33" s="5"/>
    </row>
    <row r="34" spans="1:32" s="4" customFormat="1">
      <c r="A34" s="215"/>
      <c r="B34"/>
      <c r="C34"/>
      <c r="D34" s="1"/>
      <c r="E34"/>
      <c r="F34" s="2"/>
      <c r="G34"/>
      <c r="H34" s="95"/>
      <c r="I34" s="25" t="s">
        <v>30</v>
      </c>
      <c r="J34" s="81" t="s">
        <v>126</v>
      </c>
      <c r="K34" s="228"/>
      <c r="L34" s="227">
        <f>+K34*3</f>
        <v>0</v>
      </c>
      <c r="M34" s="164"/>
      <c r="N34" s="163">
        <f>+M34*3</f>
        <v>0</v>
      </c>
      <c r="O34" s="28">
        <v>40</v>
      </c>
      <c r="P34" s="75">
        <f t="shared" si="0"/>
        <v>150</v>
      </c>
      <c r="Q34" s="218"/>
      <c r="R34" s="320">
        <f t="shared" si="1"/>
        <v>150</v>
      </c>
      <c r="S34" s="107"/>
      <c r="T34" s="5"/>
      <c r="U34"/>
      <c r="V34" s="46"/>
      <c r="W34"/>
      <c r="X34"/>
      <c r="Y34"/>
      <c r="Z34"/>
      <c r="AA34"/>
      <c r="AB34"/>
      <c r="AC34"/>
      <c r="AD34"/>
      <c r="AE34"/>
      <c r="AF34"/>
    </row>
    <row r="35" spans="1:32">
      <c r="A35" s="215"/>
      <c r="H35" s="83"/>
      <c r="I35" s="269" t="s">
        <v>186</v>
      </c>
      <c r="J35" s="270" t="s">
        <v>187</v>
      </c>
      <c r="K35" s="271"/>
      <c r="L35" s="272">
        <v>0</v>
      </c>
      <c r="M35" s="271"/>
      <c r="N35" s="272">
        <v>0</v>
      </c>
      <c r="O35" s="271">
        <v>41</v>
      </c>
      <c r="P35" s="272">
        <f t="shared" si="0"/>
        <v>150</v>
      </c>
      <c r="Q35" s="273"/>
      <c r="R35" s="272">
        <f t="shared" si="1"/>
        <v>150</v>
      </c>
      <c r="S35" s="274"/>
      <c r="T35" s="5"/>
    </row>
    <row r="36" spans="1:32">
      <c r="A36" s="215"/>
      <c r="H36" s="83"/>
      <c r="I36" s="25" t="s">
        <v>17</v>
      </c>
      <c r="J36" s="81" t="s">
        <v>123</v>
      </c>
      <c r="K36" s="228"/>
      <c r="L36" s="227">
        <f>+K36*3</f>
        <v>0</v>
      </c>
      <c r="M36" s="164"/>
      <c r="N36" s="163">
        <v>0</v>
      </c>
      <c r="O36" s="74">
        <v>29</v>
      </c>
      <c r="P36" s="75">
        <f t="shared" si="0"/>
        <v>150</v>
      </c>
      <c r="Q36" s="218"/>
      <c r="R36" s="11">
        <f t="shared" si="1"/>
        <v>150</v>
      </c>
      <c r="S36" s="107"/>
      <c r="T36" s="5"/>
    </row>
    <row r="37" spans="1:32">
      <c r="A37" s="215"/>
      <c r="H37" s="83"/>
      <c r="I37" s="25" t="s">
        <v>60</v>
      </c>
      <c r="J37" s="81" t="s">
        <v>132</v>
      </c>
      <c r="K37" s="228"/>
      <c r="L37" s="227">
        <v>0</v>
      </c>
      <c r="M37" s="164"/>
      <c r="N37" s="163">
        <v>0</v>
      </c>
      <c r="O37" s="74"/>
      <c r="P37" s="75">
        <f>IF(O37&gt;25,150,(O37)*6)</f>
        <v>0</v>
      </c>
      <c r="Q37" s="218"/>
      <c r="R37" s="11">
        <f>+L37+N37+P37+Q37</f>
        <v>0</v>
      </c>
      <c r="S37" s="107"/>
      <c r="T37" s="5"/>
    </row>
    <row r="38" spans="1:32">
      <c r="H38" s="142"/>
      <c r="I38" s="25" t="s">
        <v>233</v>
      </c>
      <c r="J38" s="81" t="s">
        <v>234</v>
      </c>
      <c r="K38" s="228"/>
      <c r="L38" s="227">
        <v>0</v>
      </c>
      <c r="M38" s="164">
        <v>13</v>
      </c>
      <c r="N38" s="163">
        <f>3*M38</f>
        <v>39</v>
      </c>
      <c r="O38" s="28"/>
      <c r="P38" s="75">
        <f t="shared" si="0"/>
        <v>0</v>
      </c>
      <c r="Q38" s="218">
        <v>10</v>
      </c>
      <c r="R38" s="57">
        <f t="shared" si="1"/>
        <v>49</v>
      </c>
      <c r="S38" s="107"/>
      <c r="T38" s="5"/>
      <c r="AF38" s="4"/>
    </row>
    <row r="39" spans="1:32">
      <c r="A39" s="215"/>
      <c r="H39" s="142"/>
      <c r="I39" s="25" t="s">
        <v>8</v>
      </c>
      <c r="J39" s="81" t="s">
        <v>120</v>
      </c>
      <c r="K39" s="228"/>
      <c r="L39" s="227">
        <v>0</v>
      </c>
      <c r="M39" s="164"/>
      <c r="N39" s="163">
        <v>0</v>
      </c>
      <c r="O39" s="28">
        <v>43</v>
      </c>
      <c r="P39" s="75">
        <f t="shared" si="0"/>
        <v>150</v>
      </c>
      <c r="Q39" s="218"/>
      <c r="R39" s="57">
        <f t="shared" si="1"/>
        <v>150</v>
      </c>
      <c r="S39" s="107"/>
      <c r="T39" s="5"/>
    </row>
    <row r="40" spans="1:32">
      <c r="A40" s="215"/>
      <c r="H40" s="83"/>
      <c r="I40" s="25" t="s">
        <v>11</v>
      </c>
      <c r="J40" s="96" t="s">
        <v>130</v>
      </c>
      <c r="K40" s="228"/>
      <c r="L40" s="227">
        <f>+K40*3</f>
        <v>0</v>
      </c>
      <c r="M40" s="164"/>
      <c r="N40" s="163">
        <f>+M40*3</f>
        <v>0</v>
      </c>
      <c r="O40" s="74">
        <v>26</v>
      </c>
      <c r="P40" s="75">
        <f t="shared" si="0"/>
        <v>150</v>
      </c>
      <c r="Q40" s="220"/>
      <c r="R40" s="11">
        <f t="shared" si="1"/>
        <v>150</v>
      </c>
      <c r="S40" s="107"/>
      <c r="T40" s="5"/>
    </row>
    <row r="41" spans="1:32">
      <c r="H41" s="83"/>
      <c r="I41" s="25" t="s">
        <v>44</v>
      </c>
      <c r="J41" s="96" t="s">
        <v>124</v>
      </c>
      <c r="K41" s="228"/>
      <c r="L41" s="227">
        <f>+K41*3</f>
        <v>0</v>
      </c>
      <c r="M41" s="164"/>
      <c r="N41" s="163">
        <f>+M41*3</f>
        <v>0</v>
      </c>
      <c r="O41" s="113"/>
      <c r="P41" s="75">
        <f t="shared" si="0"/>
        <v>0</v>
      </c>
      <c r="Q41" s="218"/>
      <c r="R41" s="11">
        <f t="shared" si="1"/>
        <v>0</v>
      </c>
      <c r="S41" s="107"/>
      <c r="T41" s="5"/>
    </row>
    <row r="42" spans="1:32">
      <c r="H42" s="83"/>
      <c r="I42" s="25" t="s">
        <v>6</v>
      </c>
      <c r="J42" s="96" t="s">
        <v>116</v>
      </c>
      <c r="K42" s="228"/>
      <c r="L42" s="227">
        <f>+K42*3</f>
        <v>0</v>
      </c>
      <c r="M42" s="164"/>
      <c r="N42" s="163">
        <f>+M42*3</f>
        <v>0</v>
      </c>
      <c r="O42" s="74"/>
      <c r="P42" s="75">
        <f t="shared" si="0"/>
        <v>0</v>
      </c>
      <c r="Q42" s="220"/>
      <c r="R42" s="11">
        <f t="shared" si="1"/>
        <v>0</v>
      </c>
      <c r="S42" s="107"/>
      <c r="T42" s="5"/>
    </row>
    <row r="43" spans="1:32">
      <c r="H43" s="95"/>
      <c r="I43" s="25" t="s">
        <v>53</v>
      </c>
      <c r="J43" s="81" t="s">
        <v>135</v>
      </c>
      <c r="K43" s="228"/>
      <c r="L43" s="227">
        <v>0</v>
      </c>
      <c r="M43" s="164"/>
      <c r="N43" s="163">
        <v>0</v>
      </c>
      <c r="O43" s="28">
        <v>18</v>
      </c>
      <c r="P43" s="75">
        <f t="shared" si="0"/>
        <v>108</v>
      </c>
      <c r="Q43" s="218"/>
      <c r="R43" s="11">
        <f t="shared" si="1"/>
        <v>108</v>
      </c>
      <c r="S43" s="107"/>
      <c r="T43" s="5"/>
    </row>
    <row r="44" spans="1:32">
      <c r="H44" s="81"/>
      <c r="I44" s="120" t="s">
        <v>12</v>
      </c>
      <c r="J44" s="150" t="s">
        <v>114</v>
      </c>
      <c r="K44" s="232"/>
      <c r="L44" s="233">
        <v>0</v>
      </c>
      <c r="M44" s="165">
        <v>15</v>
      </c>
      <c r="N44" s="166">
        <f>3*M44</f>
        <v>45</v>
      </c>
      <c r="O44" s="122"/>
      <c r="P44" s="147">
        <f t="shared" si="0"/>
        <v>0</v>
      </c>
      <c r="Q44" s="222"/>
      <c r="R44" s="322">
        <f t="shared" si="1"/>
        <v>45</v>
      </c>
      <c r="S44" s="148"/>
      <c r="T44" s="5"/>
    </row>
    <row r="45" spans="1:32">
      <c r="I45" s="13"/>
      <c r="J45" s="14"/>
      <c r="K45" s="234">
        <f t="shared" ref="K45:S45" si="3">SUM(K5:K44)</f>
        <v>0</v>
      </c>
      <c r="L45" s="235">
        <f t="shared" si="3"/>
        <v>0</v>
      </c>
      <c r="M45" s="167">
        <f t="shared" si="3"/>
        <v>140</v>
      </c>
      <c r="N45" s="168">
        <f t="shared" si="3"/>
        <v>345</v>
      </c>
      <c r="O45" s="77">
        <f t="shared" si="3"/>
        <v>789</v>
      </c>
      <c r="P45" s="78">
        <f t="shared" si="3"/>
        <v>2958</v>
      </c>
      <c r="Q45" s="323">
        <f t="shared" si="3"/>
        <v>-49.129999999999995</v>
      </c>
      <c r="R45" s="78">
        <f t="shared" si="3"/>
        <v>3253.87</v>
      </c>
      <c r="S45" s="102">
        <f t="shared" si="3"/>
        <v>0</v>
      </c>
      <c r="T45" s="5"/>
    </row>
    <row r="46" spans="1:32">
      <c r="J46" s="200">
        <f ca="1">TODAY()</f>
        <v>43825</v>
      </c>
      <c r="K46" s="41"/>
      <c r="M46" s="42"/>
      <c r="N46" s="41"/>
      <c r="O46" s="45" t="s">
        <v>81</v>
      </c>
      <c r="Q46" s="42"/>
      <c r="R46" s="45">
        <f>+R15+R21+R25</f>
        <v>150</v>
      </c>
      <c r="T46" s="5"/>
      <c r="AC46">
        <v>4</v>
      </c>
    </row>
    <row r="47" spans="1:32" ht="15" customHeight="1">
      <c r="L47" s="43"/>
      <c r="M47" s="44"/>
      <c r="N47" s="125"/>
      <c r="O47" s="43" t="s">
        <v>91</v>
      </c>
      <c r="P47" s="114"/>
      <c r="Q47" s="110" t="s">
        <v>58</v>
      </c>
      <c r="R47" s="111">
        <f>+R45-R46</f>
        <v>3103.87</v>
      </c>
      <c r="S47" s="10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24" t="s">
        <v>351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25" t="s">
        <v>352</v>
      </c>
      <c r="P50" s="19"/>
      <c r="T50" s="5"/>
    </row>
    <row r="51" spans="9:29">
      <c r="I51" s="324" t="s">
        <v>353</v>
      </c>
      <c r="P51" s="19"/>
      <c r="T51" s="5"/>
    </row>
    <row r="52" spans="9:29">
      <c r="I52" s="324" t="s">
        <v>354</v>
      </c>
      <c r="P52" s="19"/>
      <c r="T52" s="5"/>
      <c r="V52" s="59"/>
      <c r="W52" s="60"/>
      <c r="X52" s="61"/>
    </row>
    <row r="53" spans="9:29">
      <c r="I53" s="324" t="s">
        <v>355</v>
      </c>
      <c r="P53" s="19"/>
      <c r="T53" s="5"/>
      <c r="U53" s="58"/>
      <c r="V53" s="59"/>
      <c r="W53" s="60"/>
      <c r="X53" s="61"/>
    </row>
    <row r="54" spans="9:29">
      <c r="U54" s="58"/>
      <c r="V54" s="59"/>
      <c r="W54" s="62"/>
      <c r="X54" s="65"/>
    </row>
    <row r="55" spans="9:29">
      <c r="U55" s="58"/>
      <c r="V55" s="59"/>
      <c r="W55" s="67"/>
      <c r="X55" s="60"/>
    </row>
    <row r="56" spans="9:29">
      <c r="U56" s="58"/>
      <c r="V56" s="59"/>
      <c r="W56" s="60"/>
      <c r="X56" s="60"/>
    </row>
    <row r="57" spans="9:29">
      <c r="U57" s="58"/>
      <c r="V57" s="59"/>
      <c r="W57" s="60"/>
      <c r="X57" s="68"/>
    </row>
    <row r="58" spans="9:29">
      <c r="U58" s="58"/>
      <c r="V58" s="59"/>
      <c r="W58" s="60"/>
      <c r="X58" s="69"/>
    </row>
    <row r="59" spans="9:29">
      <c r="U59" s="58"/>
      <c r="V59" s="59"/>
      <c r="W59" s="60"/>
      <c r="X59" s="60"/>
    </row>
    <row r="60" spans="9:29">
      <c r="U60" s="58"/>
      <c r="V60" s="59"/>
      <c r="W60" s="60"/>
      <c r="X60" s="60"/>
    </row>
    <row r="61" spans="9:29">
      <c r="U61" s="58"/>
      <c r="V61" s="59"/>
      <c r="W61" s="62"/>
      <c r="X61" s="60"/>
    </row>
    <row r="62" spans="9:29">
      <c r="U62" s="58"/>
      <c r="V62" s="59"/>
      <c r="W62" s="62"/>
      <c r="X62" s="60"/>
    </row>
    <row r="63" spans="9:29">
      <c r="U63" s="64"/>
      <c r="V63" s="59"/>
      <c r="W63" s="60"/>
      <c r="X63" s="60"/>
    </row>
    <row r="64" spans="9:29">
      <c r="U64" s="58"/>
      <c r="V64" s="66"/>
      <c r="W64" s="67"/>
      <c r="X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  <row r="68" spans="21:23">
      <c r="U68" s="60"/>
      <c r="V68" s="59"/>
      <c r="W68" s="60"/>
    </row>
    <row r="69" spans="21:23">
      <c r="U69" s="60"/>
      <c r="V69" s="59"/>
      <c r="W69" s="60"/>
    </row>
    <row r="70" spans="21:23">
      <c r="U70" s="60"/>
      <c r="V70" s="59"/>
      <c r="W70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74" priority="2" operator="lessThanOrEqual">
      <formula>0</formula>
    </cfRule>
  </conditionalFormatting>
  <conditionalFormatting sqref="R5:R44">
    <cfRule type="cellIs" dxfId="73" priority="1" operator="greaterThan">
      <formula>0</formula>
    </cfRule>
  </conditionalFormatting>
  <printOptions horizontalCentered="1"/>
  <pageMargins left="0" right="0" top="0.47244094488188981" bottom="0" header="0" footer="0"/>
  <pageSetup scale="99" orientation="portrait" r:id="rId1"/>
  <ignoredErrors>
    <ignoredError sqref="L18:N19 L21:N21 L20 L25:N26 L22 N22 L23 L24 N24 L29:N35 L28 N28 L27 N27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70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K5" sqref="K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3.85546875" customWidth="1"/>
    <col min="9" max="9" width="7.42578125" customWidth="1"/>
    <col min="10" max="10" width="33.42578125" customWidth="1"/>
    <col min="11" max="11" width="1.7109375" customWidth="1"/>
    <col min="12" max="12" width="1.5703125" customWidth="1"/>
    <col min="13" max="13" width="5.28515625" customWidth="1"/>
    <col min="14" max="14" width="6.7109375" customWidth="1"/>
    <col min="15" max="15" width="6.85546875" customWidth="1"/>
    <col min="16" max="16" width="12.140625" customWidth="1"/>
    <col min="17" max="17" width="7.7109375" customWidth="1"/>
    <col min="18" max="18" width="17.28515625" customWidth="1"/>
    <col min="19" max="19" width="2.710937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>
      <c r="H2" s="83"/>
      <c r="I2" s="429" t="s">
        <v>335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285" t="s">
        <v>298</v>
      </c>
      <c r="O4" s="87" t="s">
        <v>15</v>
      </c>
      <c r="P4" s="87" t="s">
        <v>336</v>
      </c>
      <c r="Q4" s="99" t="s">
        <v>337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v>0</v>
      </c>
      <c r="O5" s="76">
        <v>44</v>
      </c>
      <c r="P5" s="75">
        <f t="shared" ref="P5:P44" si="0">IF(O5&gt;25,150,(O5)*6)</f>
        <v>150</v>
      </c>
      <c r="Q5" s="217">
        <v>42</v>
      </c>
      <c r="R5" s="11">
        <f t="shared" ref="R5:R44" si="1">+L5+N5+P5+Q5</f>
        <v>192</v>
      </c>
      <c r="S5" s="106"/>
      <c r="T5" s="5"/>
      <c r="U5" s="258"/>
      <c r="V5" s="259">
        <v>98.7</v>
      </c>
      <c r="W5" s="260">
        <v>660.5</v>
      </c>
      <c r="X5" s="242"/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261">
        <v>720</v>
      </c>
      <c r="V6" s="256" t="e">
        <f>+V5*U6/U5</f>
        <v>#DIV/0!</v>
      </c>
      <c r="W6" s="257" t="e">
        <f>+U6-V6</f>
        <v>#DIV/0!</v>
      </c>
      <c r="X6" s="36" t="s">
        <v>289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164"/>
      <c r="N7" s="163">
        <v>0</v>
      </c>
      <c r="O7" s="74">
        <v>1</v>
      </c>
      <c r="P7" s="75">
        <f t="shared" si="0"/>
        <v>6</v>
      </c>
      <c r="Q7" s="218"/>
      <c r="R7" s="320">
        <f t="shared" si="1"/>
        <v>6</v>
      </c>
      <c r="S7" s="106"/>
      <c r="T7" s="5"/>
      <c r="U7" s="32">
        <f>+U5-U6</f>
        <v>-720</v>
      </c>
      <c r="V7" s="47"/>
      <c r="W7" s="33"/>
      <c r="X7" s="262" t="s">
        <v>59</v>
      </c>
    </row>
    <row r="8" spans="8:29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>
        <v>45</v>
      </c>
      <c r="P8" s="75">
        <f t="shared" si="0"/>
        <v>150</v>
      </c>
      <c r="Q8" s="218"/>
      <c r="R8" s="320">
        <f t="shared" si="1"/>
        <v>150</v>
      </c>
      <c r="S8" s="138"/>
      <c r="T8" s="5"/>
      <c r="U8" s="34">
        <v>150</v>
      </c>
      <c r="V8" s="38">
        <f>+U8-U7</f>
        <v>870</v>
      </c>
      <c r="W8" s="39" t="s">
        <v>63</v>
      </c>
      <c r="X8" s="263">
        <f>150-V8</f>
        <v>-720</v>
      </c>
    </row>
    <row r="9" spans="8:29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/>
      <c r="P9" s="75">
        <f t="shared" si="0"/>
        <v>0</v>
      </c>
      <c r="Q9" s="218"/>
      <c r="R9" s="11">
        <f t="shared" si="1"/>
        <v>0</v>
      </c>
      <c r="S9" s="107"/>
      <c r="T9" s="5"/>
      <c r="U9" s="10"/>
      <c r="X9" s="37"/>
    </row>
    <row r="10" spans="8:29" ht="15" customHeight="1">
      <c r="H10" s="95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28"/>
      <c r="P10" s="75">
        <f t="shared" si="0"/>
        <v>0</v>
      </c>
      <c r="Q10" s="218"/>
      <c r="R10" s="11">
        <f t="shared" si="1"/>
        <v>0</v>
      </c>
      <c r="S10" s="197"/>
      <c r="T10" s="5"/>
      <c r="U10" s="258"/>
      <c r="V10" s="259">
        <v>101.95</v>
      </c>
      <c r="W10" s="260">
        <v>685.25</v>
      </c>
      <c r="X10" s="286"/>
      <c r="Y10" s="266"/>
    </row>
    <row r="11" spans="8:29">
      <c r="H11" s="141"/>
      <c r="I11" s="126" t="s">
        <v>56</v>
      </c>
      <c r="J11" s="80" t="s">
        <v>136</v>
      </c>
      <c r="K11" s="226"/>
      <c r="L11" s="227">
        <v>0</v>
      </c>
      <c r="M11" s="162"/>
      <c r="N11" s="163">
        <f>2.7*M11</f>
        <v>0</v>
      </c>
      <c r="O11" s="74">
        <v>39</v>
      </c>
      <c r="P11" s="75">
        <f t="shared" si="0"/>
        <v>150</v>
      </c>
      <c r="Q11" s="217"/>
      <c r="R11" s="9">
        <f t="shared" si="1"/>
        <v>150</v>
      </c>
      <c r="S11" s="107"/>
      <c r="T11" s="5"/>
      <c r="U11" s="261">
        <v>720</v>
      </c>
      <c r="V11" s="256" t="e">
        <f>+V10*U11/U10</f>
        <v>#DIV/0!</v>
      </c>
      <c r="W11" s="257" t="e">
        <f>+U11-V11</f>
        <v>#DIV/0!</v>
      </c>
      <c r="X11" s="36" t="s">
        <v>289</v>
      </c>
    </row>
    <row r="12" spans="8:29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>
        <v>34</v>
      </c>
      <c r="P12" s="75">
        <f t="shared" si="0"/>
        <v>150</v>
      </c>
      <c r="Q12" s="218">
        <v>36</v>
      </c>
      <c r="R12" s="9">
        <f t="shared" si="1"/>
        <v>186</v>
      </c>
      <c r="S12" s="106"/>
      <c r="T12" s="5"/>
      <c r="U12" s="32">
        <f>+U10-U11</f>
        <v>-720</v>
      </c>
      <c r="V12" s="47"/>
      <c r="W12" s="33"/>
      <c r="X12" s="262" t="s">
        <v>59</v>
      </c>
    </row>
    <row r="13" spans="8:29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870</v>
      </c>
      <c r="W13" s="39" t="s">
        <v>63</v>
      </c>
      <c r="X13" s="263">
        <f>150-V13</f>
        <v>-720</v>
      </c>
    </row>
    <row r="14" spans="8:29">
      <c r="H14" s="83"/>
      <c r="I14" s="25" t="s">
        <v>20</v>
      </c>
      <c r="J14" s="81" t="s">
        <v>195</v>
      </c>
      <c r="K14" s="228"/>
      <c r="L14" s="227">
        <f>+K14*3</f>
        <v>0</v>
      </c>
      <c r="M14" s="164"/>
      <c r="N14" s="163">
        <f>+M14*3</f>
        <v>0</v>
      </c>
      <c r="O14" s="74">
        <v>33</v>
      </c>
      <c r="P14" s="75">
        <f t="shared" si="0"/>
        <v>150</v>
      </c>
      <c r="Q14" s="217"/>
      <c r="R14" s="9">
        <f t="shared" si="1"/>
        <v>150</v>
      </c>
      <c r="S14" s="107"/>
      <c r="T14" s="5"/>
      <c r="U14" s="10"/>
      <c r="X14" s="37"/>
    </row>
    <row r="15" spans="8:29">
      <c r="H15" s="251" t="s">
        <v>50</v>
      </c>
      <c r="I15" s="275" t="s">
        <v>272</v>
      </c>
      <c r="J15" s="276" t="s">
        <v>271</v>
      </c>
      <c r="K15" s="277"/>
      <c r="L15" s="278">
        <v>0</v>
      </c>
      <c r="M15" s="277"/>
      <c r="N15" s="278">
        <v>0</v>
      </c>
      <c r="O15" s="277"/>
      <c r="P15" s="278">
        <f t="shared" si="0"/>
        <v>0</v>
      </c>
      <c r="Q15" s="279">
        <v>39</v>
      </c>
      <c r="R15" s="278">
        <f t="shared" si="1"/>
        <v>39</v>
      </c>
      <c r="S15" s="280"/>
      <c r="T15" s="5"/>
      <c r="U15" s="258"/>
      <c r="V15" s="259">
        <v>96.5</v>
      </c>
      <c r="W15" s="260">
        <v>648.70000000000005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95"/>
      <c r="I16" s="25" t="s">
        <v>25</v>
      </c>
      <c r="J16" s="81" t="s">
        <v>118</v>
      </c>
      <c r="K16" s="228"/>
      <c r="L16" s="227">
        <f>+K16*3</f>
        <v>0</v>
      </c>
      <c r="M16" s="164"/>
      <c r="N16" s="163">
        <f>+M16*3</f>
        <v>0</v>
      </c>
      <c r="O16" s="28">
        <v>26</v>
      </c>
      <c r="P16" s="75">
        <f t="shared" si="0"/>
        <v>150</v>
      </c>
      <c r="Q16" s="218"/>
      <c r="R16" s="11">
        <f t="shared" si="1"/>
        <v>150</v>
      </c>
      <c r="S16" s="107"/>
      <c r="T16" s="5"/>
      <c r="U16" s="261">
        <v>720</v>
      </c>
      <c r="V16" s="256" t="e">
        <f>+V15*U16/U15</f>
        <v>#DIV/0!</v>
      </c>
      <c r="W16" s="257" t="e">
        <f>+U16-V16</f>
        <v>#DIV/0!</v>
      </c>
      <c r="X16" s="36" t="s">
        <v>289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164"/>
      <c r="N17" s="163">
        <f>+M17*3</f>
        <v>0</v>
      </c>
      <c r="O17" s="28">
        <v>33</v>
      </c>
      <c r="P17" s="75">
        <f t="shared" si="0"/>
        <v>150</v>
      </c>
      <c r="Q17" s="218"/>
      <c r="R17" s="11">
        <f t="shared" si="1"/>
        <v>150</v>
      </c>
      <c r="S17" s="107"/>
      <c r="T17" s="5"/>
      <c r="U17" s="32">
        <f>+U15-U16</f>
        <v>-720</v>
      </c>
      <c r="V17" s="47"/>
      <c r="W17" s="33"/>
      <c r="X17" s="262" t="s">
        <v>59</v>
      </c>
      <c r="Z17" s="282">
        <v>43627</v>
      </c>
      <c r="AA17" s="317">
        <v>0.5</v>
      </c>
      <c r="AB17" s="281">
        <v>2</v>
      </c>
      <c r="AC17" s="174" t="s">
        <v>157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162"/>
      <c r="N18" s="163">
        <f>5*M18</f>
        <v>0</v>
      </c>
      <c r="O18" s="76">
        <v>41</v>
      </c>
      <c r="P18" s="75">
        <f t="shared" si="0"/>
        <v>150</v>
      </c>
      <c r="Q18" s="217"/>
      <c r="R18" s="11">
        <f t="shared" si="1"/>
        <v>150</v>
      </c>
      <c r="S18" s="106"/>
      <c r="T18" s="5"/>
      <c r="U18" s="34">
        <v>150</v>
      </c>
      <c r="V18" s="38">
        <f>+U18-U17</f>
        <v>870</v>
      </c>
      <c r="W18" s="39" t="s">
        <v>63</v>
      </c>
      <c r="X18" s="263">
        <f>150-V18</f>
        <v>-720</v>
      </c>
      <c r="Z18" s="282">
        <f>1+Z17</f>
        <v>43628</v>
      </c>
      <c r="AA18" s="318">
        <v>1</v>
      </c>
      <c r="AB18" s="281">
        <v>4</v>
      </c>
      <c r="AC18" s="33" t="s">
        <v>156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164"/>
      <c r="N19" s="163">
        <f>+M19*3</f>
        <v>0</v>
      </c>
      <c r="O19" s="74">
        <v>32</v>
      </c>
      <c r="P19" s="75">
        <f t="shared" si="0"/>
        <v>150</v>
      </c>
      <c r="Q19" s="217"/>
      <c r="R19" s="9">
        <f t="shared" si="1"/>
        <v>150</v>
      </c>
      <c r="S19" s="107"/>
      <c r="T19" s="5"/>
      <c r="U19" s="10"/>
      <c r="X19" s="37"/>
      <c r="Z19" s="282">
        <f t="shared" ref="Z19:Z27" si="2">1+Z18</f>
        <v>43629</v>
      </c>
      <c r="AA19" s="318">
        <v>1</v>
      </c>
      <c r="AB19" s="281">
        <v>3</v>
      </c>
      <c r="AC19" s="33" t="s">
        <v>151</v>
      </c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164"/>
      <c r="N20" s="163">
        <v>0</v>
      </c>
      <c r="O20" s="74"/>
      <c r="P20" s="75">
        <f t="shared" si="0"/>
        <v>0</v>
      </c>
      <c r="Q20" s="217">
        <v>36</v>
      </c>
      <c r="R20" s="9">
        <f t="shared" si="1"/>
        <v>36</v>
      </c>
      <c r="S20" s="107"/>
      <c r="T20" s="5"/>
      <c r="U20" s="258"/>
      <c r="V20" s="259">
        <v>96.88</v>
      </c>
      <c r="W20" s="260">
        <v>648.32000000000005</v>
      </c>
      <c r="X20" s="100"/>
      <c r="Y20" s="266"/>
      <c r="Z20" s="282">
        <f t="shared" si="2"/>
        <v>43630</v>
      </c>
      <c r="AA20" s="318">
        <v>0.5</v>
      </c>
      <c r="AB20" s="281">
        <v>2</v>
      </c>
      <c r="AC20" s="33" t="s">
        <v>152</v>
      </c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277"/>
      <c r="N21" s="278">
        <v>0</v>
      </c>
      <c r="O21" s="277">
        <v>27</v>
      </c>
      <c r="P21" s="278">
        <f t="shared" si="0"/>
        <v>150</v>
      </c>
      <c r="Q21" s="279">
        <v>45</v>
      </c>
      <c r="R21" s="278">
        <f t="shared" si="1"/>
        <v>195</v>
      </c>
      <c r="S21" s="280"/>
      <c r="T21" s="5"/>
      <c r="U21" s="261">
        <v>720</v>
      </c>
      <c r="V21" s="256" t="e">
        <f>+V20*U21/U20</f>
        <v>#DIV/0!</v>
      </c>
      <c r="W21" s="257" t="e">
        <f>+U21-V21</f>
        <v>#DIV/0!</v>
      </c>
      <c r="X21" s="36" t="s">
        <v>289</v>
      </c>
      <c r="Z21" s="282">
        <f t="shared" si="2"/>
        <v>43631</v>
      </c>
      <c r="AA21" s="318"/>
      <c r="AB21" s="281"/>
      <c r="AC21" s="33" t="s">
        <v>153</v>
      </c>
    </row>
    <row r="22" spans="1:29" ht="15.75">
      <c r="A22" s="215"/>
      <c r="H22" s="142"/>
      <c r="I22" s="25" t="s">
        <v>4</v>
      </c>
      <c r="J22" s="81" t="s">
        <v>111</v>
      </c>
      <c r="K22" s="228"/>
      <c r="L22" s="227">
        <v>0</v>
      </c>
      <c r="M22" s="164"/>
      <c r="N22" s="163">
        <f>+M22*3</f>
        <v>0</v>
      </c>
      <c r="O22" s="28"/>
      <c r="P22" s="75">
        <f t="shared" si="0"/>
        <v>0</v>
      </c>
      <c r="Q22" s="218"/>
      <c r="R22" s="321">
        <f t="shared" si="1"/>
        <v>0</v>
      </c>
      <c r="S22" s="107"/>
      <c r="T22" s="5"/>
      <c r="U22" s="32">
        <f>+U20-U21</f>
        <v>-720</v>
      </c>
      <c r="V22" s="47"/>
      <c r="W22" s="33"/>
      <c r="X22" s="262" t="s">
        <v>59</v>
      </c>
      <c r="Z22" s="282">
        <f t="shared" si="2"/>
        <v>43632</v>
      </c>
      <c r="AA22" s="318"/>
      <c r="AB22" s="281"/>
      <c r="AC22" s="33" t="s">
        <v>154</v>
      </c>
    </row>
    <row r="23" spans="1:29" ht="15.75">
      <c r="A23" s="215"/>
      <c r="H23" s="142"/>
      <c r="I23" s="25" t="s">
        <v>9</v>
      </c>
      <c r="J23" s="81" t="s">
        <v>128</v>
      </c>
      <c r="K23" s="228"/>
      <c r="L23" s="227">
        <v>0</v>
      </c>
      <c r="M23" s="164"/>
      <c r="N23" s="163">
        <v>0</v>
      </c>
      <c r="O23" s="28">
        <v>2</v>
      </c>
      <c r="P23" s="75">
        <f t="shared" si="0"/>
        <v>12</v>
      </c>
      <c r="Q23" s="218"/>
      <c r="R23" s="321">
        <f t="shared" si="1"/>
        <v>12</v>
      </c>
      <c r="S23" s="107"/>
      <c r="T23" s="5"/>
      <c r="U23" s="34">
        <v>150</v>
      </c>
      <c r="V23" s="38">
        <f>+U23-U22</f>
        <v>870</v>
      </c>
      <c r="W23" s="39" t="s">
        <v>63</v>
      </c>
      <c r="X23" s="263">
        <f>150-V23</f>
        <v>-720</v>
      </c>
      <c r="Z23" s="282">
        <f t="shared" si="2"/>
        <v>43633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164"/>
      <c r="N24" s="163">
        <v>0</v>
      </c>
      <c r="O24" s="28"/>
      <c r="P24" s="11">
        <f t="shared" si="0"/>
        <v>0</v>
      </c>
      <c r="Q24" s="218"/>
      <c r="R24" s="240">
        <f t="shared" si="1"/>
        <v>0</v>
      </c>
      <c r="S24" s="241"/>
      <c r="T24" s="5"/>
      <c r="U24" s="10"/>
      <c r="X24" s="37"/>
      <c r="Z24" s="282">
        <f t="shared" si="2"/>
        <v>43634</v>
      </c>
      <c r="AA24" s="318"/>
      <c r="AB24" s="281"/>
      <c r="AC24" s="61"/>
    </row>
    <row r="25" spans="1:29">
      <c r="H25" s="251" t="s">
        <v>50</v>
      </c>
      <c r="I25" s="275" t="s">
        <v>328</v>
      </c>
      <c r="J25" s="276" t="s">
        <v>329</v>
      </c>
      <c r="K25" s="277"/>
      <c r="L25" s="278">
        <v>0</v>
      </c>
      <c r="M25" s="277"/>
      <c r="N25" s="278">
        <v>0</v>
      </c>
      <c r="O25" s="277">
        <v>31</v>
      </c>
      <c r="P25" s="278">
        <f t="shared" si="0"/>
        <v>150</v>
      </c>
      <c r="Q25" s="279"/>
      <c r="R25" s="278">
        <f t="shared" si="1"/>
        <v>150</v>
      </c>
      <c r="S25" s="280"/>
      <c r="T25" s="5"/>
      <c r="U25" s="258"/>
      <c r="V25" s="259">
        <v>95.06</v>
      </c>
      <c r="W25" s="260">
        <v>636.14</v>
      </c>
      <c r="X25" s="100"/>
      <c r="Y25" s="266"/>
      <c r="Z25" s="282">
        <f t="shared" si="2"/>
        <v>43635</v>
      </c>
      <c r="AA25" s="318"/>
      <c r="AB25" s="281"/>
      <c r="AC25" s="61"/>
    </row>
    <row r="26" spans="1:29">
      <c r="A26" s="237"/>
      <c r="B26" s="237"/>
      <c r="C26" s="237"/>
      <c r="D26" s="238"/>
      <c r="E26" s="237"/>
      <c r="F26" s="239"/>
      <c r="G26" s="237"/>
      <c r="H26" s="142"/>
      <c r="I26" s="25" t="s">
        <v>51</v>
      </c>
      <c r="J26" s="96" t="s">
        <v>134</v>
      </c>
      <c r="K26" s="29"/>
      <c r="L26" s="27">
        <f>+K26*3</f>
        <v>0</v>
      </c>
      <c r="M26" s="164"/>
      <c r="N26" s="163">
        <f>+M26*3</f>
        <v>0</v>
      </c>
      <c r="O26" s="28">
        <v>27</v>
      </c>
      <c r="P26" s="11">
        <f t="shared" si="0"/>
        <v>150</v>
      </c>
      <c r="Q26" s="218"/>
      <c r="R26" s="240">
        <f t="shared" si="1"/>
        <v>150</v>
      </c>
      <c r="S26" s="241"/>
      <c r="T26" s="5"/>
      <c r="U26" s="261">
        <v>720</v>
      </c>
      <c r="V26" s="256" t="e">
        <f>+V25*U26/U25</f>
        <v>#DIV/0!</v>
      </c>
      <c r="W26" s="257" t="e">
        <f>+U26-V26</f>
        <v>#DIV/0!</v>
      </c>
      <c r="X26" s="36" t="s">
        <v>289</v>
      </c>
      <c r="Z26" s="282">
        <f t="shared" si="2"/>
        <v>43636</v>
      </c>
      <c r="AA26" s="318"/>
      <c r="AB26" s="281"/>
      <c r="AC26" s="65"/>
    </row>
    <row r="27" spans="1:29">
      <c r="A27" s="215"/>
      <c r="H27" s="83"/>
      <c r="I27" s="126" t="s">
        <v>61</v>
      </c>
      <c r="J27" s="80" t="s">
        <v>137</v>
      </c>
      <c r="K27" s="226"/>
      <c r="L27" s="227">
        <f>3*K27</f>
        <v>0</v>
      </c>
      <c r="M27" s="162"/>
      <c r="N27" s="163">
        <f>3*M27</f>
        <v>0</v>
      </c>
      <c r="O27" s="72"/>
      <c r="P27" s="75">
        <f t="shared" si="0"/>
        <v>0</v>
      </c>
      <c r="Q27" s="217">
        <v>57</v>
      </c>
      <c r="R27" s="11">
        <f t="shared" si="1"/>
        <v>57</v>
      </c>
      <c r="S27" s="106"/>
      <c r="T27" s="5"/>
      <c r="U27" s="32">
        <f>+U25-U26</f>
        <v>-720</v>
      </c>
      <c r="V27" s="47"/>
      <c r="W27" s="33"/>
      <c r="X27" s="262" t="s">
        <v>59</v>
      </c>
      <c r="Z27" s="282">
        <f t="shared" si="2"/>
        <v>43637</v>
      </c>
      <c r="AA27" s="319"/>
      <c r="AB27" s="281"/>
      <c r="AC27" s="66"/>
    </row>
    <row r="28" spans="1:29">
      <c r="A28" s="215"/>
      <c r="H28" s="83"/>
      <c r="I28" s="25" t="s">
        <v>14</v>
      </c>
      <c r="J28" s="96" t="s">
        <v>125</v>
      </c>
      <c r="K28" s="228"/>
      <c r="L28" s="227">
        <f>+K28*3</f>
        <v>0</v>
      </c>
      <c r="M28" s="164"/>
      <c r="N28" s="163">
        <f>3*M28</f>
        <v>0</v>
      </c>
      <c r="O28" s="74"/>
      <c r="P28" s="75">
        <f t="shared" si="0"/>
        <v>0</v>
      </c>
      <c r="Q28" s="218"/>
      <c r="R28" s="320">
        <f t="shared" si="1"/>
        <v>0</v>
      </c>
      <c r="S28" s="107"/>
      <c r="T28" s="5"/>
      <c r="U28" s="34">
        <v>150</v>
      </c>
      <c r="V28" s="38">
        <f>+U28-U27</f>
        <v>870</v>
      </c>
      <c r="W28" s="39" t="s">
        <v>63</v>
      </c>
      <c r="X28" s="263">
        <f>150-V28</f>
        <v>-720</v>
      </c>
      <c r="Z28" s="314" t="s">
        <v>150</v>
      </c>
      <c r="AA28" s="315">
        <f>SUM(AA17:AA27)</f>
        <v>3</v>
      </c>
      <c r="AB28" s="316" t="s">
        <v>148</v>
      </c>
      <c r="AC28" s="68"/>
    </row>
    <row r="29" spans="1:29">
      <c r="A29" s="215"/>
      <c r="H29" s="83"/>
      <c r="I29" s="126" t="s">
        <v>79</v>
      </c>
      <c r="J29" s="82" t="s">
        <v>110</v>
      </c>
      <c r="K29" s="228"/>
      <c r="L29" s="227">
        <v>0</v>
      </c>
      <c r="M29" s="164"/>
      <c r="N29" s="163">
        <v>0</v>
      </c>
      <c r="O29" s="76">
        <v>29</v>
      </c>
      <c r="P29" s="75">
        <f t="shared" si="0"/>
        <v>150</v>
      </c>
      <c r="Q29" s="217"/>
      <c r="R29" s="11">
        <f t="shared" si="1"/>
        <v>150</v>
      </c>
      <c r="S29" s="106"/>
      <c r="T29" s="5"/>
      <c r="U29" s="10"/>
      <c r="X29" s="37"/>
      <c r="Z29" s="184"/>
      <c r="AA29" s="171">
        <f>SUM(AB17:AB27)</f>
        <v>11</v>
      </c>
      <c r="AB29" s="185" t="s">
        <v>149</v>
      </c>
      <c r="AC29" s="69"/>
    </row>
    <row r="30" spans="1:29" ht="16.5">
      <c r="H30" s="83"/>
      <c r="I30" s="269" t="s">
        <v>214</v>
      </c>
      <c r="J30" s="270" t="s">
        <v>215</v>
      </c>
      <c r="K30" s="271"/>
      <c r="L30" s="272">
        <v>0</v>
      </c>
      <c r="M30" s="271"/>
      <c r="N30" s="272">
        <f>3*M30</f>
        <v>0</v>
      </c>
      <c r="O30" s="271">
        <v>31</v>
      </c>
      <c r="P30" s="272">
        <f t="shared" si="0"/>
        <v>150</v>
      </c>
      <c r="Q30" s="273"/>
      <c r="R30" s="272">
        <f t="shared" si="1"/>
        <v>150</v>
      </c>
      <c r="S30" s="274"/>
      <c r="T30" s="5"/>
      <c r="U30" s="258"/>
      <c r="V30" s="259">
        <v>87.41</v>
      </c>
      <c r="W30" s="260">
        <v>657.79</v>
      </c>
      <c r="X30" s="100"/>
      <c r="Y30" s="266"/>
      <c r="Z30" s="186" t="s">
        <v>160</v>
      </c>
      <c r="AA30" s="284">
        <f>+AA29/AA28</f>
        <v>3.6666666666666665</v>
      </c>
      <c r="AB30" s="173" t="s">
        <v>150</v>
      </c>
      <c r="AC30" s="65"/>
    </row>
    <row r="31" spans="1:29">
      <c r="A31" s="237"/>
      <c r="B31" s="237"/>
      <c r="C31" s="237"/>
      <c r="D31" s="238"/>
      <c r="E31" s="237"/>
      <c r="F31" s="239"/>
      <c r="G31" s="237"/>
      <c r="H31" s="142"/>
      <c r="I31" s="25" t="s">
        <v>45</v>
      </c>
      <c r="J31" s="96" t="s">
        <v>133</v>
      </c>
      <c r="K31" s="29"/>
      <c r="L31" s="27">
        <f>+K31*3</f>
        <v>0</v>
      </c>
      <c r="M31" s="164"/>
      <c r="N31" s="163">
        <f>+M31*3</f>
        <v>0</v>
      </c>
      <c r="O31" s="28"/>
      <c r="P31" s="11">
        <f t="shared" si="0"/>
        <v>0</v>
      </c>
      <c r="Q31" s="218"/>
      <c r="R31" s="240">
        <f t="shared" si="1"/>
        <v>0</v>
      </c>
      <c r="S31" s="241"/>
      <c r="T31" s="5"/>
      <c r="U31" s="261">
        <v>720</v>
      </c>
      <c r="V31" s="256" t="e">
        <f>+V30*U31/U30</f>
        <v>#DIV/0!</v>
      </c>
      <c r="W31" s="257" t="e">
        <f>+U31-V31</f>
        <v>#DIV/0!</v>
      </c>
      <c r="X31" s="36" t="s">
        <v>289</v>
      </c>
    </row>
    <row r="32" spans="1:29">
      <c r="A32" s="215"/>
      <c r="H32" s="142"/>
      <c r="I32" s="25" t="s">
        <v>13</v>
      </c>
      <c r="J32" s="81" t="s">
        <v>319</v>
      </c>
      <c r="K32" s="228"/>
      <c r="L32" s="227">
        <f>3*K32</f>
        <v>0</v>
      </c>
      <c r="M32" s="164"/>
      <c r="N32" s="163">
        <v>0</v>
      </c>
      <c r="O32" s="28">
        <v>36</v>
      </c>
      <c r="P32" s="75">
        <f t="shared" si="0"/>
        <v>150</v>
      </c>
      <c r="Q32" s="218"/>
      <c r="R32" s="57">
        <f t="shared" si="1"/>
        <v>150</v>
      </c>
      <c r="S32" s="107"/>
      <c r="T32" s="5"/>
      <c r="U32" s="32">
        <f>+U30-U31</f>
        <v>-720</v>
      </c>
      <c r="V32" s="47"/>
      <c r="W32" s="33"/>
      <c r="X32" s="262" t="s">
        <v>59</v>
      </c>
    </row>
    <row r="33" spans="1:32">
      <c r="A33" s="215"/>
      <c r="H33" s="95"/>
      <c r="I33" s="25" t="s">
        <v>31</v>
      </c>
      <c r="J33" s="81" t="s">
        <v>127</v>
      </c>
      <c r="K33" s="228"/>
      <c r="L33" s="227">
        <v>0</v>
      </c>
      <c r="M33" s="164"/>
      <c r="N33" s="163">
        <v>0</v>
      </c>
      <c r="O33" s="28">
        <v>36</v>
      </c>
      <c r="P33" s="75">
        <f t="shared" si="0"/>
        <v>150</v>
      </c>
      <c r="Q33" s="218"/>
      <c r="R33" s="11">
        <f t="shared" si="1"/>
        <v>150</v>
      </c>
      <c r="S33" s="107"/>
      <c r="T33" s="5"/>
      <c r="U33" s="34">
        <v>150</v>
      </c>
      <c r="V33" s="38">
        <f>+U33-U32</f>
        <v>870</v>
      </c>
      <c r="W33" s="39" t="s">
        <v>63</v>
      </c>
      <c r="X33" s="263">
        <f>150-V33</f>
        <v>-720</v>
      </c>
    </row>
    <row r="34" spans="1:32" s="4" customFormat="1">
      <c r="A34" s="215"/>
      <c r="B34"/>
      <c r="C34"/>
      <c r="D34" s="1"/>
      <c r="E34"/>
      <c r="F34" s="2"/>
      <c r="G34"/>
      <c r="H34" s="95"/>
      <c r="I34" s="25" t="s">
        <v>30</v>
      </c>
      <c r="J34" s="81" t="s">
        <v>126</v>
      </c>
      <c r="K34" s="228"/>
      <c r="L34" s="227">
        <f>+K34*3</f>
        <v>0</v>
      </c>
      <c r="M34" s="164"/>
      <c r="N34" s="163">
        <f>+M34*3</f>
        <v>0</v>
      </c>
      <c r="O34" s="28">
        <v>36</v>
      </c>
      <c r="P34" s="75">
        <f t="shared" si="0"/>
        <v>150</v>
      </c>
      <c r="Q34" s="218"/>
      <c r="R34" s="320">
        <f t="shared" si="1"/>
        <v>150</v>
      </c>
      <c r="S34" s="107"/>
      <c r="T34" s="5"/>
      <c r="U34" s="58"/>
      <c r="V34" s="59"/>
      <c r="W34" s="60"/>
      <c r="X34" s="61"/>
      <c r="Y34"/>
      <c r="Z34"/>
      <c r="AA34"/>
      <c r="AB34"/>
      <c r="AC34"/>
      <c r="AD34"/>
      <c r="AE34"/>
      <c r="AF34"/>
    </row>
    <row r="35" spans="1:32">
      <c r="A35" s="215"/>
      <c r="H35" s="83"/>
      <c r="I35" s="269" t="s">
        <v>186</v>
      </c>
      <c r="J35" s="270" t="s">
        <v>187</v>
      </c>
      <c r="K35" s="271"/>
      <c r="L35" s="272">
        <v>0</v>
      </c>
      <c r="M35" s="271"/>
      <c r="N35" s="272">
        <v>0</v>
      </c>
      <c r="O35" s="271">
        <v>42</v>
      </c>
      <c r="P35" s="272">
        <f t="shared" si="0"/>
        <v>150</v>
      </c>
      <c r="Q35" s="273"/>
      <c r="R35" s="272">
        <f t="shared" si="1"/>
        <v>150</v>
      </c>
      <c r="S35" s="274"/>
      <c r="T35" s="5"/>
      <c r="U35" s="287" t="s">
        <v>288</v>
      </c>
    </row>
    <row r="36" spans="1:32">
      <c r="A36" s="215"/>
      <c r="H36" s="83"/>
      <c r="I36" s="25" t="s">
        <v>17</v>
      </c>
      <c r="J36" s="81" t="s">
        <v>123</v>
      </c>
      <c r="K36" s="228"/>
      <c r="L36" s="227">
        <f>+K36*3</f>
        <v>0</v>
      </c>
      <c r="M36" s="164"/>
      <c r="N36" s="163">
        <v>0</v>
      </c>
      <c r="O36" s="74">
        <v>2</v>
      </c>
      <c r="P36" s="75">
        <f t="shared" si="0"/>
        <v>12</v>
      </c>
      <c r="Q36" s="218"/>
      <c r="R36" s="11">
        <f t="shared" si="1"/>
        <v>12</v>
      </c>
      <c r="S36" s="107"/>
      <c r="T36" s="5"/>
    </row>
    <row r="37" spans="1:32">
      <c r="A37" s="215"/>
      <c r="H37" s="83"/>
      <c r="I37" s="25" t="s">
        <v>60</v>
      </c>
      <c r="J37" s="81" t="s">
        <v>132</v>
      </c>
      <c r="K37" s="228"/>
      <c r="L37" s="227">
        <v>0</v>
      </c>
      <c r="M37" s="164"/>
      <c r="N37" s="163">
        <v>0</v>
      </c>
      <c r="O37" s="74"/>
      <c r="P37" s="75">
        <f>IF(O37&gt;25,150,(O37)*6)</f>
        <v>0</v>
      </c>
      <c r="Q37" s="218"/>
      <c r="R37" s="11">
        <f>+L37+N37+P37+Q37</f>
        <v>0</v>
      </c>
      <c r="S37" s="107"/>
      <c r="T37" s="5"/>
      <c r="U37">
        <v>36</v>
      </c>
    </row>
    <row r="38" spans="1:32">
      <c r="H38" s="142"/>
      <c r="I38" s="25" t="s">
        <v>233</v>
      </c>
      <c r="J38" s="81" t="s">
        <v>234</v>
      </c>
      <c r="K38" s="228"/>
      <c r="L38" s="227">
        <v>0</v>
      </c>
      <c r="M38" s="164"/>
      <c r="N38" s="163">
        <v>0</v>
      </c>
      <c r="O38" s="28"/>
      <c r="P38" s="75">
        <f t="shared" si="0"/>
        <v>0</v>
      </c>
      <c r="Q38" s="218">
        <v>42</v>
      </c>
      <c r="R38" s="57">
        <f t="shared" si="1"/>
        <v>42</v>
      </c>
      <c r="S38" s="107"/>
      <c r="T38" s="5"/>
      <c r="U38">
        <v>45</v>
      </c>
      <c r="AF38" s="4"/>
    </row>
    <row r="39" spans="1:32">
      <c r="A39" s="215"/>
      <c r="H39" s="142"/>
      <c r="I39" s="25" t="s">
        <v>8</v>
      </c>
      <c r="J39" s="81" t="s">
        <v>120</v>
      </c>
      <c r="K39" s="228"/>
      <c r="L39" s="227">
        <v>0</v>
      </c>
      <c r="M39" s="164"/>
      <c r="N39" s="163">
        <v>0</v>
      </c>
      <c r="O39" s="28">
        <v>31</v>
      </c>
      <c r="P39" s="75">
        <f t="shared" si="0"/>
        <v>150</v>
      </c>
      <c r="Q39" s="218"/>
      <c r="R39" s="57">
        <f t="shared" si="1"/>
        <v>150</v>
      </c>
      <c r="S39" s="107"/>
      <c r="T39" s="5"/>
      <c r="U39">
        <v>42</v>
      </c>
    </row>
    <row r="40" spans="1:32">
      <c r="A40" s="215"/>
      <c r="H40" s="83"/>
      <c r="I40" s="25" t="s">
        <v>11</v>
      </c>
      <c r="J40" s="96" t="s">
        <v>130</v>
      </c>
      <c r="K40" s="228"/>
      <c r="L40" s="227">
        <f>+K40*3</f>
        <v>0</v>
      </c>
      <c r="M40" s="164"/>
      <c r="N40" s="163">
        <f>+M40*3</f>
        <v>0</v>
      </c>
      <c r="O40" s="74">
        <v>23</v>
      </c>
      <c r="P40" s="75">
        <f t="shared" si="0"/>
        <v>138</v>
      </c>
      <c r="Q40" s="220"/>
      <c r="R40" s="11">
        <f t="shared" si="1"/>
        <v>138</v>
      </c>
      <c r="S40" s="107"/>
      <c r="T40" s="5"/>
      <c r="U40">
        <v>36</v>
      </c>
    </row>
    <row r="41" spans="1:32">
      <c r="H41" s="83"/>
      <c r="I41" s="25" t="s">
        <v>44</v>
      </c>
      <c r="J41" s="96" t="s">
        <v>124</v>
      </c>
      <c r="K41" s="228"/>
      <c r="L41" s="227">
        <f>+K41*3</f>
        <v>0</v>
      </c>
      <c r="M41" s="164"/>
      <c r="N41" s="163">
        <f>+M41*3</f>
        <v>0</v>
      </c>
      <c r="O41" s="113"/>
      <c r="P41" s="75">
        <f t="shared" si="0"/>
        <v>0</v>
      </c>
      <c r="Q41" s="218"/>
      <c r="R41" s="11">
        <f t="shared" si="1"/>
        <v>0</v>
      </c>
      <c r="S41" s="107"/>
      <c r="T41" s="5"/>
      <c r="U41">
        <v>39</v>
      </c>
    </row>
    <row r="42" spans="1:32">
      <c r="H42" s="83"/>
      <c r="I42" s="25" t="s">
        <v>6</v>
      </c>
      <c r="J42" s="96" t="s">
        <v>116</v>
      </c>
      <c r="K42" s="228"/>
      <c r="L42" s="227">
        <f>+K42*3</f>
        <v>0</v>
      </c>
      <c r="M42" s="164"/>
      <c r="N42" s="163">
        <f>+M42*3</f>
        <v>0</v>
      </c>
      <c r="O42" s="74"/>
      <c r="P42" s="75">
        <f t="shared" si="0"/>
        <v>0</v>
      </c>
      <c r="Q42" s="220"/>
      <c r="R42" s="11">
        <f t="shared" si="1"/>
        <v>0</v>
      </c>
      <c r="S42" s="107"/>
      <c r="T42" s="5"/>
      <c r="U42">
        <v>57</v>
      </c>
    </row>
    <row r="43" spans="1:32">
      <c r="H43" s="95"/>
      <c r="I43" s="25" t="s">
        <v>53</v>
      </c>
      <c r="J43" s="81" t="s">
        <v>135</v>
      </c>
      <c r="K43" s="228"/>
      <c r="L43" s="227">
        <v>0</v>
      </c>
      <c r="M43" s="164"/>
      <c r="N43" s="163">
        <v>0</v>
      </c>
      <c r="O43" s="28"/>
      <c r="P43" s="75">
        <f t="shared" si="0"/>
        <v>0</v>
      </c>
      <c r="Q43" s="218"/>
      <c r="R43" s="11">
        <f t="shared" si="1"/>
        <v>0</v>
      </c>
      <c r="S43" s="107"/>
      <c r="T43" s="5"/>
      <c r="U43">
        <v>42</v>
      </c>
    </row>
    <row r="44" spans="1:32">
      <c r="H44" s="81"/>
      <c r="I44" s="120" t="s">
        <v>12</v>
      </c>
      <c r="J44" s="150" t="s">
        <v>114</v>
      </c>
      <c r="K44" s="232"/>
      <c r="L44" s="233">
        <v>0</v>
      </c>
      <c r="M44" s="165"/>
      <c r="N44" s="166">
        <f>2.85*M44</f>
        <v>0</v>
      </c>
      <c r="O44" s="122"/>
      <c r="P44" s="147">
        <f t="shared" si="0"/>
        <v>0</v>
      </c>
      <c r="Q44" s="222"/>
      <c r="R44" s="322">
        <f t="shared" si="1"/>
        <v>0</v>
      </c>
      <c r="S44" s="148"/>
      <c r="T44" s="5"/>
      <c r="U44">
        <f>SUM(U37:U43)</f>
        <v>297</v>
      </c>
    </row>
    <row r="45" spans="1:32">
      <c r="I45" s="13"/>
      <c r="J45" s="14"/>
      <c r="K45" s="234">
        <f t="shared" ref="K45:S45" si="3">SUM(K5:K44)</f>
        <v>0</v>
      </c>
      <c r="L45" s="235">
        <f t="shared" si="3"/>
        <v>0</v>
      </c>
      <c r="M45" s="167">
        <f t="shared" si="3"/>
        <v>0</v>
      </c>
      <c r="N45" s="168">
        <f t="shared" si="3"/>
        <v>0</v>
      </c>
      <c r="O45" s="77">
        <f t="shared" si="3"/>
        <v>681</v>
      </c>
      <c r="P45" s="78">
        <f t="shared" si="3"/>
        <v>3018</v>
      </c>
      <c r="Q45" s="323">
        <f t="shared" si="3"/>
        <v>297</v>
      </c>
      <c r="R45" s="78">
        <f t="shared" si="3"/>
        <v>3315</v>
      </c>
      <c r="S45" s="102">
        <f t="shared" si="3"/>
        <v>0</v>
      </c>
      <c r="T45" s="5"/>
    </row>
    <row r="46" spans="1:32">
      <c r="J46" s="200">
        <f ca="1">TODAY()</f>
        <v>43825</v>
      </c>
      <c r="K46" s="41"/>
      <c r="M46" s="42"/>
      <c r="N46" s="41"/>
      <c r="O46" s="45" t="s">
        <v>81</v>
      </c>
      <c r="Q46" s="42"/>
      <c r="R46" s="45">
        <f>+R15+R21+R25</f>
        <v>384</v>
      </c>
      <c r="T46" s="5"/>
      <c r="AC46">
        <v>4</v>
      </c>
    </row>
    <row r="47" spans="1:32" ht="15" customHeight="1">
      <c r="L47" s="43"/>
      <c r="M47" s="44"/>
      <c r="N47" s="125"/>
      <c r="O47" s="43" t="s">
        <v>91</v>
      </c>
      <c r="P47" s="114"/>
      <c r="Q47" s="110" t="s">
        <v>58</v>
      </c>
      <c r="R47" s="111">
        <f>+R45-R46</f>
        <v>2931</v>
      </c>
      <c r="S47" s="10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24" t="s">
        <v>338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25" t="s">
        <v>339</v>
      </c>
      <c r="P50" s="19"/>
      <c r="T50" s="5"/>
    </row>
    <row r="51" spans="9:29">
      <c r="I51" s="324" t="s">
        <v>340</v>
      </c>
      <c r="P51" s="19"/>
      <c r="T51" s="5"/>
    </row>
    <row r="52" spans="9:29">
      <c r="I52" s="324" t="s">
        <v>341</v>
      </c>
      <c r="P52" s="19"/>
      <c r="T52" s="5"/>
      <c r="V52" s="59"/>
      <c r="W52" s="60"/>
      <c r="X52" s="61"/>
    </row>
    <row r="53" spans="9:29">
      <c r="I53" s="324" t="s">
        <v>342</v>
      </c>
      <c r="P53" s="19"/>
      <c r="T53" s="5"/>
      <c r="U53" s="58"/>
      <c r="V53" s="59"/>
      <c r="W53" s="60"/>
      <c r="X53" s="61"/>
    </row>
    <row r="54" spans="9:29">
      <c r="I54" s="123" t="s">
        <v>343</v>
      </c>
      <c r="U54" s="58"/>
      <c r="V54" s="59"/>
      <c r="W54" s="62"/>
      <c r="X54" s="65"/>
    </row>
    <row r="55" spans="9:29">
      <c r="U55" s="58"/>
      <c r="V55" s="59"/>
      <c r="W55" s="67"/>
      <c r="X55" s="60"/>
    </row>
    <row r="56" spans="9:29">
      <c r="U56" s="58"/>
      <c r="V56" s="59"/>
      <c r="W56" s="60"/>
      <c r="X56" s="60"/>
    </row>
    <row r="57" spans="9:29">
      <c r="U57" s="58"/>
      <c r="V57" s="59"/>
      <c r="W57" s="60"/>
      <c r="X57" s="68"/>
    </row>
    <row r="58" spans="9:29">
      <c r="U58" s="58"/>
      <c r="V58" s="59"/>
      <c r="W58" s="60"/>
      <c r="X58" s="69"/>
    </row>
    <row r="59" spans="9:29">
      <c r="U59" s="58"/>
      <c r="V59" s="59"/>
      <c r="W59" s="60"/>
      <c r="X59" s="60"/>
    </row>
    <row r="60" spans="9:29">
      <c r="U60" s="58"/>
      <c r="V60" s="59"/>
      <c r="W60" s="60"/>
      <c r="X60" s="60"/>
    </row>
    <row r="61" spans="9:29">
      <c r="U61" s="58"/>
      <c r="V61" s="59"/>
      <c r="W61" s="62"/>
      <c r="X61" s="60"/>
    </row>
    <row r="62" spans="9:29">
      <c r="U62" s="58"/>
      <c r="V62" s="59"/>
      <c r="W62" s="62"/>
      <c r="X62" s="60"/>
    </row>
    <row r="63" spans="9:29">
      <c r="U63" s="64"/>
      <c r="V63" s="59"/>
      <c r="W63" s="60"/>
      <c r="X63" s="60"/>
    </row>
    <row r="64" spans="9:29">
      <c r="U64" s="58"/>
      <c r="V64" s="66"/>
      <c r="W64" s="67"/>
      <c r="X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  <row r="68" spans="21:23">
      <c r="U68" s="60"/>
      <c r="V68" s="59"/>
      <c r="W68" s="60"/>
    </row>
    <row r="69" spans="21:23">
      <c r="U69" s="60"/>
      <c r="V69" s="59"/>
      <c r="W69" s="60"/>
    </row>
    <row r="70" spans="21:23">
      <c r="U70" s="60"/>
      <c r="V70" s="59"/>
      <c r="W70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72" priority="2" operator="lessThanOrEqual">
      <formula>0</formula>
    </cfRule>
  </conditionalFormatting>
  <conditionalFormatting sqref="R5:R44">
    <cfRule type="cellIs" dxfId="71" priority="1" operator="greaterThan">
      <formula>0</formula>
    </cfRule>
  </conditionalFormatting>
  <printOptions horizontalCentered="1"/>
  <pageMargins left="0" right="0" top="0.47244094488188981" bottom="0" header="0" footer="0"/>
  <pageSetup scale="97" orientation="portrait" r:id="rId1"/>
  <ignoredErrors>
    <ignoredError sqref="L18:N32" 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70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K5" sqref="K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3.85546875" customWidth="1"/>
    <col min="9" max="9" width="7.42578125" customWidth="1"/>
    <col min="10" max="10" width="33.42578125" customWidth="1"/>
    <col min="11" max="11" width="1.7109375" customWidth="1"/>
    <col min="12" max="12" width="1.5703125" customWidth="1"/>
    <col min="13" max="13" width="5.28515625" customWidth="1"/>
    <col min="14" max="14" width="6.7109375" customWidth="1"/>
    <col min="15" max="15" width="6.85546875" customWidth="1"/>
    <col min="16" max="16" width="12.140625" customWidth="1"/>
    <col min="17" max="17" width="6.42578125" customWidth="1"/>
    <col min="18" max="18" width="17.28515625" customWidth="1"/>
    <col min="19" max="19" width="2.710937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>
      <c r="H2" s="83"/>
      <c r="I2" s="429" t="s">
        <v>325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285" t="s">
        <v>298</v>
      </c>
      <c r="O4" s="87" t="s">
        <v>15</v>
      </c>
      <c r="P4" s="87" t="s">
        <v>326</v>
      </c>
      <c r="Q4" s="99" t="s">
        <v>327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v>0</v>
      </c>
      <c r="O5" s="76">
        <v>35</v>
      </c>
      <c r="P5" s="75">
        <f t="shared" ref="P5:P44" si="0">IF(O5&gt;25,150,(O5)*6)</f>
        <v>150</v>
      </c>
      <c r="Q5" s="217"/>
      <c r="R5" s="11">
        <f t="shared" ref="R5:R44" si="1">+L5+N5+P5+Q5</f>
        <v>150</v>
      </c>
      <c r="S5" s="106"/>
      <c r="T5" s="5"/>
      <c r="U5" s="258"/>
      <c r="V5" s="259">
        <v>98.7</v>
      </c>
      <c r="W5" s="260">
        <v>660.5</v>
      </c>
      <c r="X5" s="242"/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261">
        <v>720</v>
      </c>
      <c r="V6" s="256" t="e">
        <f>+V5*U6/U5</f>
        <v>#DIV/0!</v>
      </c>
      <c r="W6" s="257" t="e">
        <f>+U6-V6</f>
        <v>#DIV/0!</v>
      </c>
      <c r="X6" s="36" t="s">
        <v>289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164"/>
      <c r="N7" s="163">
        <v>0</v>
      </c>
      <c r="O7" s="74">
        <v>33</v>
      </c>
      <c r="P7" s="75">
        <f t="shared" si="0"/>
        <v>150</v>
      </c>
      <c r="Q7" s="218"/>
      <c r="R7" s="320">
        <f t="shared" si="1"/>
        <v>150</v>
      </c>
      <c r="S7" s="106"/>
      <c r="T7" s="5"/>
      <c r="U7" s="32">
        <f>+U5-U6</f>
        <v>-720</v>
      </c>
      <c r="V7" s="47"/>
      <c r="W7" s="33"/>
      <c r="X7" s="262" t="s">
        <v>59</v>
      </c>
    </row>
    <row r="8" spans="8:29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>
        <v>39</v>
      </c>
      <c r="P8" s="75">
        <f t="shared" si="0"/>
        <v>150</v>
      </c>
      <c r="Q8" s="218"/>
      <c r="R8" s="320">
        <f t="shared" si="1"/>
        <v>150</v>
      </c>
      <c r="S8" s="138"/>
      <c r="T8" s="5"/>
      <c r="U8" s="34">
        <v>150</v>
      </c>
      <c r="V8" s="38">
        <f>+U8-U7</f>
        <v>870</v>
      </c>
      <c r="W8" s="39" t="s">
        <v>63</v>
      </c>
      <c r="X8" s="263">
        <f>150-V8</f>
        <v>-720</v>
      </c>
    </row>
    <row r="9" spans="8:29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/>
      <c r="P9" s="75">
        <f t="shared" si="0"/>
        <v>0</v>
      </c>
      <c r="Q9" s="218"/>
      <c r="R9" s="11">
        <f t="shared" si="1"/>
        <v>0</v>
      </c>
      <c r="S9" s="107"/>
      <c r="T9" s="5"/>
      <c r="U9" s="10"/>
      <c r="X9" s="37"/>
    </row>
    <row r="10" spans="8:29" ht="15" customHeight="1">
      <c r="H10" s="95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28"/>
      <c r="P10" s="75">
        <f t="shared" si="0"/>
        <v>0</v>
      </c>
      <c r="Q10" s="218"/>
      <c r="R10" s="11">
        <f t="shared" si="1"/>
        <v>0</v>
      </c>
      <c r="S10" s="197"/>
      <c r="T10" s="5"/>
      <c r="U10" s="258"/>
      <c r="V10" s="259">
        <v>101.95</v>
      </c>
      <c r="W10" s="260">
        <v>685.25</v>
      </c>
      <c r="X10" s="286"/>
      <c r="Y10" s="266"/>
    </row>
    <row r="11" spans="8:29">
      <c r="H11" s="141"/>
      <c r="I11" s="126" t="s">
        <v>56</v>
      </c>
      <c r="J11" s="80" t="s">
        <v>136</v>
      </c>
      <c r="K11" s="226"/>
      <c r="L11" s="227">
        <v>0</v>
      </c>
      <c r="M11" s="162"/>
      <c r="N11" s="163">
        <f>2.7*M11</f>
        <v>0</v>
      </c>
      <c r="O11" s="74"/>
      <c r="P11" s="75">
        <f t="shared" si="0"/>
        <v>0</v>
      </c>
      <c r="Q11" s="217"/>
      <c r="R11" s="9">
        <f t="shared" si="1"/>
        <v>0</v>
      </c>
      <c r="S11" s="107"/>
      <c r="T11" s="5"/>
      <c r="U11" s="261">
        <v>720</v>
      </c>
      <c r="V11" s="256" t="e">
        <f>+V10*U11/U10</f>
        <v>#DIV/0!</v>
      </c>
      <c r="W11" s="257" t="e">
        <f>+U11-V11</f>
        <v>#DIV/0!</v>
      </c>
      <c r="X11" s="36" t="s">
        <v>289</v>
      </c>
    </row>
    <row r="12" spans="8:29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>
        <v>30</v>
      </c>
      <c r="P12" s="75">
        <f t="shared" si="0"/>
        <v>150</v>
      </c>
      <c r="Q12" s="218"/>
      <c r="R12" s="9">
        <f t="shared" si="1"/>
        <v>150</v>
      </c>
      <c r="S12" s="106"/>
      <c r="T12" s="5"/>
      <c r="U12" s="32">
        <f>+U10-U11</f>
        <v>-720</v>
      </c>
      <c r="V12" s="47"/>
      <c r="W12" s="33"/>
      <c r="X12" s="262" t="s">
        <v>59</v>
      </c>
    </row>
    <row r="13" spans="8:29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870</v>
      </c>
      <c r="W13" s="39" t="s">
        <v>63</v>
      </c>
      <c r="X13" s="263">
        <f>150-V13</f>
        <v>-720</v>
      </c>
    </row>
    <row r="14" spans="8:29">
      <c r="H14" s="83"/>
      <c r="I14" s="25" t="s">
        <v>20</v>
      </c>
      <c r="J14" s="81" t="s">
        <v>195</v>
      </c>
      <c r="K14" s="228"/>
      <c r="L14" s="227">
        <f>+K14*3</f>
        <v>0</v>
      </c>
      <c r="M14" s="164"/>
      <c r="N14" s="163">
        <f>+M14*3</f>
        <v>0</v>
      </c>
      <c r="O14" s="74">
        <v>35</v>
      </c>
      <c r="P14" s="75">
        <f t="shared" si="0"/>
        <v>150</v>
      </c>
      <c r="Q14" s="217"/>
      <c r="R14" s="9">
        <f t="shared" si="1"/>
        <v>150</v>
      </c>
      <c r="S14" s="107"/>
      <c r="T14" s="5"/>
      <c r="U14" s="10"/>
      <c r="X14" s="37"/>
    </row>
    <row r="15" spans="8:29">
      <c r="H15" s="251" t="s">
        <v>50</v>
      </c>
      <c r="I15" s="275" t="s">
        <v>272</v>
      </c>
      <c r="J15" s="276" t="s">
        <v>271</v>
      </c>
      <c r="K15" s="277"/>
      <c r="L15" s="278">
        <v>0</v>
      </c>
      <c r="M15" s="277"/>
      <c r="N15" s="278">
        <v>0</v>
      </c>
      <c r="O15" s="277"/>
      <c r="P15" s="278">
        <f t="shared" si="0"/>
        <v>0</v>
      </c>
      <c r="Q15" s="279"/>
      <c r="R15" s="278">
        <f t="shared" si="1"/>
        <v>0</v>
      </c>
      <c r="S15" s="280"/>
      <c r="T15" s="5"/>
      <c r="U15" s="258"/>
      <c r="V15" s="259">
        <v>96.5</v>
      </c>
      <c r="W15" s="260">
        <v>648.70000000000005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95"/>
      <c r="I16" s="25" t="s">
        <v>25</v>
      </c>
      <c r="J16" s="81" t="s">
        <v>118</v>
      </c>
      <c r="K16" s="228"/>
      <c r="L16" s="227">
        <f>+K16*3</f>
        <v>0</v>
      </c>
      <c r="M16" s="164"/>
      <c r="N16" s="163">
        <f>+M16*3</f>
        <v>0</v>
      </c>
      <c r="O16" s="28">
        <v>27</v>
      </c>
      <c r="P16" s="75">
        <f t="shared" si="0"/>
        <v>150</v>
      </c>
      <c r="Q16" s="218"/>
      <c r="R16" s="11">
        <f t="shared" si="1"/>
        <v>150</v>
      </c>
      <c r="S16" s="107"/>
      <c r="T16" s="5"/>
      <c r="U16" s="261">
        <v>720</v>
      </c>
      <c r="V16" s="256" t="e">
        <f>+V15*U16/U15</f>
        <v>#DIV/0!</v>
      </c>
      <c r="W16" s="257" t="e">
        <f>+U16-V16</f>
        <v>#DIV/0!</v>
      </c>
      <c r="X16" s="36" t="s">
        <v>289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164"/>
      <c r="N17" s="163">
        <f>+M17*3</f>
        <v>0</v>
      </c>
      <c r="O17" s="28">
        <v>5</v>
      </c>
      <c r="P17" s="75">
        <f t="shared" si="0"/>
        <v>30</v>
      </c>
      <c r="Q17" s="218"/>
      <c r="R17" s="11">
        <f t="shared" si="1"/>
        <v>30</v>
      </c>
      <c r="S17" s="107"/>
      <c r="T17" s="5"/>
      <c r="U17" s="32">
        <f>+U15-U16</f>
        <v>-720</v>
      </c>
      <c r="V17" s="47"/>
      <c r="W17" s="33"/>
      <c r="X17" s="262" t="s">
        <v>59</v>
      </c>
      <c r="Z17" s="282">
        <v>43627</v>
      </c>
      <c r="AA17" s="317">
        <v>0.5</v>
      </c>
      <c r="AB17" s="281">
        <v>2</v>
      </c>
      <c r="AC17" s="174" t="s">
        <v>157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162"/>
      <c r="N18" s="163">
        <f>5*M18</f>
        <v>0</v>
      </c>
      <c r="O18" s="76">
        <v>28</v>
      </c>
      <c r="P18" s="75">
        <f t="shared" si="0"/>
        <v>150</v>
      </c>
      <c r="Q18" s="217"/>
      <c r="R18" s="11">
        <f t="shared" si="1"/>
        <v>150</v>
      </c>
      <c r="S18" s="106"/>
      <c r="T18" s="5"/>
      <c r="U18" s="34">
        <v>150</v>
      </c>
      <c r="V18" s="38">
        <f>+U18-U17</f>
        <v>870</v>
      </c>
      <c r="W18" s="39" t="s">
        <v>63</v>
      </c>
      <c r="X18" s="263">
        <f>150-V18</f>
        <v>-720</v>
      </c>
      <c r="Z18" s="282">
        <f>1+Z17</f>
        <v>43628</v>
      </c>
      <c r="AA18" s="318">
        <v>1</v>
      </c>
      <c r="AB18" s="281">
        <v>4</v>
      </c>
      <c r="AC18" s="33" t="s">
        <v>156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164"/>
      <c r="N19" s="163">
        <f>+M19*3</f>
        <v>0</v>
      </c>
      <c r="O19" s="74">
        <v>32</v>
      </c>
      <c r="P19" s="75">
        <f t="shared" si="0"/>
        <v>150</v>
      </c>
      <c r="Q19" s="217"/>
      <c r="R19" s="9">
        <f t="shared" si="1"/>
        <v>150</v>
      </c>
      <c r="S19" s="107"/>
      <c r="T19" s="5"/>
      <c r="U19" s="10"/>
      <c r="X19" s="37"/>
      <c r="Z19" s="282">
        <f t="shared" ref="Z19:Z27" si="2">1+Z18</f>
        <v>43629</v>
      </c>
      <c r="AA19" s="318">
        <v>1</v>
      </c>
      <c r="AB19" s="281">
        <v>3</v>
      </c>
      <c r="AC19" s="33" t="s">
        <v>151</v>
      </c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164"/>
      <c r="N20" s="163">
        <v>0</v>
      </c>
      <c r="O20" s="74"/>
      <c r="P20" s="75">
        <f t="shared" si="0"/>
        <v>0</v>
      </c>
      <c r="Q20" s="217"/>
      <c r="R20" s="9">
        <f t="shared" si="1"/>
        <v>0</v>
      </c>
      <c r="S20" s="107"/>
      <c r="T20" s="5"/>
      <c r="U20" s="258"/>
      <c r="V20" s="259">
        <v>96.88</v>
      </c>
      <c r="W20" s="260">
        <v>648.32000000000005</v>
      </c>
      <c r="X20" s="100"/>
      <c r="Y20" s="266"/>
      <c r="Z20" s="282">
        <f t="shared" si="2"/>
        <v>43630</v>
      </c>
      <c r="AA20" s="318">
        <v>0.5</v>
      </c>
      <c r="AB20" s="281">
        <v>2</v>
      </c>
      <c r="AC20" s="33" t="s">
        <v>152</v>
      </c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277"/>
      <c r="N21" s="278">
        <v>0</v>
      </c>
      <c r="O21" s="277"/>
      <c r="P21" s="278">
        <f t="shared" si="0"/>
        <v>0</v>
      </c>
      <c r="Q21" s="279"/>
      <c r="R21" s="278">
        <f t="shared" si="1"/>
        <v>0</v>
      </c>
      <c r="S21" s="280"/>
      <c r="T21" s="5"/>
      <c r="U21" s="261">
        <v>720</v>
      </c>
      <c r="V21" s="256" t="e">
        <f>+V20*U21/U20</f>
        <v>#DIV/0!</v>
      </c>
      <c r="W21" s="257" t="e">
        <f>+U21-V21</f>
        <v>#DIV/0!</v>
      </c>
      <c r="X21" s="36" t="s">
        <v>289</v>
      </c>
      <c r="Z21" s="282">
        <f t="shared" si="2"/>
        <v>43631</v>
      </c>
      <c r="AA21" s="318"/>
      <c r="AB21" s="281"/>
      <c r="AC21" s="33" t="s">
        <v>153</v>
      </c>
    </row>
    <row r="22" spans="1:29" ht="15.75">
      <c r="A22" s="215"/>
      <c r="H22" s="142"/>
      <c r="I22" s="25" t="s">
        <v>4</v>
      </c>
      <c r="J22" s="81" t="s">
        <v>111</v>
      </c>
      <c r="K22" s="228"/>
      <c r="L22" s="227">
        <v>0</v>
      </c>
      <c r="M22" s="164"/>
      <c r="N22" s="163">
        <f>+M22*3</f>
        <v>0</v>
      </c>
      <c r="O22" s="28"/>
      <c r="P22" s="75">
        <f t="shared" si="0"/>
        <v>0</v>
      </c>
      <c r="Q22" s="218"/>
      <c r="R22" s="321">
        <f t="shared" si="1"/>
        <v>0</v>
      </c>
      <c r="S22" s="107"/>
      <c r="T22" s="5"/>
      <c r="U22" s="32">
        <f>+U20-U21</f>
        <v>-720</v>
      </c>
      <c r="V22" s="47"/>
      <c r="W22" s="33"/>
      <c r="X22" s="262" t="s">
        <v>59</v>
      </c>
      <c r="Z22" s="282">
        <f t="shared" si="2"/>
        <v>43632</v>
      </c>
      <c r="AA22" s="318"/>
      <c r="AB22" s="281"/>
      <c r="AC22" s="33" t="s">
        <v>154</v>
      </c>
    </row>
    <row r="23" spans="1:29" ht="15.75">
      <c r="A23" s="215"/>
      <c r="H23" s="142"/>
      <c r="I23" s="25" t="s">
        <v>9</v>
      </c>
      <c r="J23" s="81" t="s">
        <v>128</v>
      </c>
      <c r="K23" s="228"/>
      <c r="L23" s="227">
        <v>0</v>
      </c>
      <c r="M23" s="164"/>
      <c r="N23" s="163">
        <v>0</v>
      </c>
      <c r="O23" s="28">
        <v>31</v>
      </c>
      <c r="P23" s="75">
        <f t="shared" si="0"/>
        <v>150</v>
      </c>
      <c r="Q23" s="218"/>
      <c r="R23" s="321">
        <f t="shared" si="1"/>
        <v>150</v>
      </c>
      <c r="S23" s="107"/>
      <c r="T23" s="5"/>
      <c r="U23" s="34">
        <v>150</v>
      </c>
      <c r="V23" s="38">
        <f>+U23-U22</f>
        <v>870</v>
      </c>
      <c r="W23" s="39" t="s">
        <v>63</v>
      </c>
      <c r="X23" s="263">
        <f>150-V23</f>
        <v>-720</v>
      </c>
      <c r="Z23" s="282">
        <f t="shared" si="2"/>
        <v>43633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164"/>
      <c r="N24" s="163">
        <v>0</v>
      </c>
      <c r="O24" s="28"/>
      <c r="P24" s="11">
        <f t="shared" si="0"/>
        <v>0</v>
      </c>
      <c r="Q24" s="218"/>
      <c r="R24" s="240">
        <f t="shared" si="1"/>
        <v>0</v>
      </c>
      <c r="S24" s="241"/>
      <c r="T24" s="5"/>
      <c r="U24" s="10"/>
      <c r="X24" s="37"/>
      <c r="Z24" s="282">
        <f t="shared" si="2"/>
        <v>43634</v>
      </c>
      <c r="AA24" s="318"/>
      <c r="AB24" s="281"/>
      <c r="AC24" s="61"/>
    </row>
    <row r="25" spans="1:29">
      <c r="H25" s="251" t="s">
        <v>50</v>
      </c>
      <c r="I25" s="275" t="s">
        <v>328</v>
      </c>
      <c r="J25" s="276" t="s">
        <v>329</v>
      </c>
      <c r="K25" s="277"/>
      <c r="L25" s="278">
        <v>0</v>
      </c>
      <c r="M25" s="277"/>
      <c r="N25" s="278">
        <v>0</v>
      </c>
      <c r="O25" s="277">
        <v>33</v>
      </c>
      <c r="P25" s="278">
        <f>IF(O25&gt;25,150,(O25)*6)</f>
        <v>150</v>
      </c>
      <c r="Q25" s="279"/>
      <c r="R25" s="278">
        <f>+L25+N25+P25+Q25</f>
        <v>150</v>
      </c>
      <c r="S25" s="280"/>
      <c r="T25" s="5"/>
      <c r="U25" s="258"/>
      <c r="V25" s="259">
        <v>95.06</v>
      </c>
      <c r="W25" s="260">
        <v>636.14</v>
      </c>
      <c r="X25" s="100"/>
      <c r="Y25" s="266"/>
      <c r="Z25" s="282">
        <f t="shared" si="2"/>
        <v>43635</v>
      </c>
      <c r="AA25" s="318"/>
      <c r="AB25" s="281"/>
      <c r="AC25" s="61"/>
    </row>
    <row r="26" spans="1:29">
      <c r="A26" s="237"/>
      <c r="B26" s="237"/>
      <c r="C26" s="237"/>
      <c r="D26" s="238"/>
      <c r="E26" s="237"/>
      <c r="F26" s="239"/>
      <c r="G26" s="237"/>
      <c r="H26" s="142"/>
      <c r="I26" s="25" t="s">
        <v>51</v>
      </c>
      <c r="J26" s="96" t="s">
        <v>134</v>
      </c>
      <c r="K26" s="29"/>
      <c r="L26" s="27">
        <f>+K26*3</f>
        <v>0</v>
      </c>
      <c r="M26" s="164"/>
      <c r="N26" s="163">
        <f>+M26*3</f>
        <v>0</v>
      </c>
      <c r="O26" s="28">
        <v>32</v>
      </c>
      <c r="P26" s="11">
        <f t="shared" si="0"/>
        <v>150</v>
      </c>
      <c r="Q26" s="218"/>
      <c r="R26" s="240">
        <f t="shared" si="1"/>
        <v>150</v>
      </c>
      <c r="S26" s="241"/>
      <c r="T26" s="5"/>
      <c r="U26" s="261">
        <v>720</v>
      </c>
      <c r="V26" s="256" t="e">
        <f>+V25*U26/U25</f>
        <v>#DIV/0!</v>
      </c>
      <c r="W26" s="257" t="e">
        <f>+U26-V26</f>
        <v>#DIV/0!</v>
      </c>
      <c r="X26" s="36" t="s">
        <v>289</v>
      </c>
      <c r="Z26" s="282">
        <f t="shared" si="2"/>
        <v>43636</v>
      </c>
      <c r="AA26" s="318"/>
      <c r="AB26" s="281"/>
      <c r="AC26" s="65"/>
    </row>
    <row r="27" spans="1:29">
      <c r="A27" s="215"/>
      <c r="H27" s="83"/>
      <c r="I27" s="126" t="s">
        <v>61</v>
      </c>
      <c r="J27" s="80" t="s">
        <v>137</v>
      </c>
      <c r="K27" s="226"/>
      <c r="L27" s="227">
        <f>3*K27</f>
        <v>0</v>
      </c>
      <c r="M27" s="162"/>
      <c r="N27" s="163">
        <f>3*M27</f>
        <v>0</v>
      </c>
      <c r="O27" s="72"/>
      <c r="P27" s="75">
        <f t="shared" si="0"/>
        <v>0</v>
      </c>
      <c r="Q27" s="217"/>
      <c r="R27" s="11">
        <f t="shared" si="1"/>
        <v>0</v>
      </c>
      <c r="S27" s="106"/>
      <c r="T27" s="5"/>
      <c r="U27" s="32">
        <f>+U25-U26</f>
        <v>-720</v>
      </c>
      <c r="V27" s="47"/>
      <c r="W27" s="33"/>
      <c r="X27" s="262" t="s">
        <v>59</v>
      </c>
      <c r="Z27" s="282">
        <f t="shared" si="2"/>
        <v>43637</v>
      </c>
      <c r="AA27" s="319"/>
      <c r="AB27" s="281"/>
      <c r="AC27" s="66"/>
    </row>
    <row r="28" spans="1:29">
      <c r="A28" s="215"/>
      <c r="H28" s="83"/>
      <c r="I28" s="25" t="s">
        <v>14</v>
      </c>
      <c r="J28" s="96" t="s">
        <v>125</v>
      </c>
      <c r="K28" s="228"/>
      <c r="L28" s="227">
        <f>+K28*3</f>
        <v>0</v>
      </c>
      <c r="M28" s="164"/>
      <c r="N28" s="163">
        <f>3*M28</f>
        <v>0</v>
      </c>
      <c r="O28" s="74"/>
      <c r="P28" s="75">
        <f t="shared" si="0"/>
        <v>0</v>
      </c>
      <c r="Q28" s="218"/>
      <c r="R28" s="320">
        <f t="shared" si="1"/>
        <v>0</v>
      </c>
      <c r="S28" s="107"/>
      <c r="T28" s="5"/>
      <c r="U28" s="34">
        <v>150</v>
      </c>
      <c r="V28" s="38">
        <f>+U28-U27</f>
        <v>870</v>
      </c>
      <c r="W28" s="39" t="s">
        <v>63</v>
      </c>
      <c r="X28" s="263">
        <f>150-V28</f>
        <v>-720</v>
      </c>
      <c r="Z28" s="314" t="s">
        <v>150</v>
      </c>
      <c r="AA28" s="315">
        <f>SUM(AA17:AA27)</f>
        <v>3</v>
      </c>
      <c r="AB28" s="316" t="s">
        <v>148</v>
      </c>
      <c r="AC28" s="68"/>
    </row>
    <row r="29" spans="1:29">
      <c r="A29" s="215"/>
      <c r="H29" s="83"/>
      <c r="I29" s="126" t="s">
        <v>79</v>
      </c>
      <c r="J29" s="82" t="s">
        <v>110</v>
      </c>
      <c r="K29" s="228"/>
      <c r="L29" s="227">
        <v>0</v>
      </c>
      <c r="M29" s="164"/>
      <c r="N29" s="163">
        <v>0</v>
      </c>
      <c r="O29" s="76">
        <v>27</v>
      </c>
      <c r="P29" s="75">
        <f t="shared" si="0"/>
        <v>150</v>
      </c>
      <c r="Q29" s="217"/>
      <c r="R29" s="11">
        <f t="shared" si="1"/>
        <v>150</v>
      </c>
      <c r="S29" s="106"/>
      <c r="T29" s="5"/>
      <c r="U29" s="10"/>
      <c r="X29" s="37"/>
      <c r="Z29" s="184"/>
      <c r="AA29" s="171">
        <f>SUM(AB17:AB27)</f>
        <v>11</v>
      </c>
      <c r="AB29" s="185" t="s">
        <v>149</v>
      </c>
      <c r="AC29" s="69"/>
    </row>
    <row r="30" spans="1:29" ht="16.5">
      <c r="H30" s="83"/>
      <c r="I30" s="269" t="s">
        <v>214</v>
      </c>
      <c r="J30" s="270" t="s">
        <v>215</v>
      </c>
      <c r="K30" s="271"/>
      <c r="L30" s="272">
        <v>0</v>
      </c>
      <c r="M30" s="271"/>
      <c r="N30" s="272">
        <f>3*M30</f>
        <v>0</v>
      </c>
      <c r="O30" s="271">
        <v>32</v>
      </c>
      <c r="P30" s="272">
        <f t="shared" si="0"/>
        <v>150</v>
      </c>
      <c r="Q30" s="273"/>
      <c r="R30" s="272">
        <f t="shared" si="1"/>
        <v>150</v>
      </c>
      <c r="S30" s="274"/>
      <c r="T30" s="5"/>
      <c r="U30" s="258"/>
      <c r="V30" s="259">
        <v>87.41</v>
      </c>
      <c r="W30" s="260">
        <v>657.79</v>
      </c>
      <c r="X30" s="100"/>
      <c r="Y30" s="266"/>
      <c r="Z30" s="186" t="s">
        <v>160</v>
      </c>
      <c r="AA30" s="284">
        <f>+AA29/AA28</f>
        <v>3.6666666666666665</v>
      </c>
      <c r="AB30" s="173" t="s">
        <v>150</v>
      </c>
      <c r="AC30" s="65"/>
    </row>
    <row r="31" spans="1:29">
      <c r="A31" s="237"/>
      <c r="B31" s="237"/>
      <c r="C31" s="237"/>
      <c r="D31" s="238"/>
      <c r="E31" s="237"/>
      <c r="F31" s="239"/>
      <c r="G31" s="237"/>
      <c r="H31" s="142"/>
      <c r="I31" s="25" t="s">
        <v>45</v>
      </c>
      <c r="J31" s="96" t="s">
        <v>133</v>
      </c>
      <c r="K31" s="29"/>
      <c r="L31" s="27">
        <f>+K31*3</f>
        <v>0</v>
      </c>
      <c r="M31" s="164"/>
      <c r="N31" s="163">
        <f>+M31*3</f>
        <v>0</v>
      </c>
      <c r="O31" s="28">
        <v>35</v>
      </c>
      <c r="P31" s="11">
        <f t="shared" si="0"/>
        <v>150</v>
      </c>
      <c r="Q31" s="218"/>
      <c r="R31" s="240">
        <f t="shared" si="1"/>
        <v>150</v>
      </c>
      <c r="S31" s="241"/>
      <c r="T31" s="5"/>
      <c r="U31" s="261">
        <v>720</v>
      </c>
      <c r="V31" s="256" t="e">
        <f>+V30*U31/U30</f>
        <v>#DIV/0!</v>
      </c>
      <c r="W31" s="257" t="e">
        <f>+U31-V31</f>
        <v>#DIV/0!</v>
      </c>
      <c r="X31" s="36" t="s">
        <v>289</v>
      </c>
    </row>
    <row r="32" spans="1:29">
      <c r="A32" s="215"/>
      <c r="H32" s="142"/>
      <c r="I32" s="25" t="s">
        <v>13</v>
      </c>
      <c r="J32" s="81" t="s">
        <v>319</v>
      </c>
      <c r="K32" s="228"/>
      <c r="L32" s="227">
        <f>3*K32</f>
        <v>0</v>
      </c>
      <c r="M32" s="164"/>
      <c r="N32" s="163">
        <v>0</v>
      </c>
      <c r="O32" s="28">
        <v>39</v>
      </c>
      <c r="P32" s="75">
        <f t="shared" si="0"/>
        <v>150</v>
      </c>
      <c r="Q32" s="218"/>
      <c r="R32" s="57">
        <f t="shared" si="1"/>
        <v>150</v>
      </c>
      <c r="S32" s="107"/>
      <c r="T32" s="5"/>
      <c r="U32" s="32">
        <f>+U30-U31</f>
        <v>-720</v>
      </c>
      <c r="V32" s="47"/>
      <c r="W32" s="33"/>
      <c r="X32" s="262" t="s">
        <v>59</v>
      </c>
    </row>
    <row r="33" spans="1:32">
      <c r="A33" s="215"/>
      <c r="H33" s="95"/>
      <c r="I33" s="25" t="s">
        <v>31</v>
      </c>
      <c r="J33" s="81" t="s">
        <v>127</v>
      </c>
      <c r="K33" s="228"/>
      <c r="L33" s="227">
        <v>0</v>
      </c>
      <c r="M33" s="164"/>
      <c r="N33" s="163">
        <v>0</v>
      </c>
      <c r="O33" s="28"/>
      <c r="P33" s="75">
        <f t="shared" si="0"/>
        <v>0</v>
      </c>
      <c r="Q33" s="218"/>
      <c r="R33" s="11">
        <f t="shared" si="1"/>
        <v>0</v>
      </c>
      <c r="S33" s="107"/>
      <c r="T33" s="5"/>
      <c r="U33" s="34">
        <v>150</v>
      </c>
      <c r="V33" s="38">
        <f>+U33-U32</f>
        <v>870</v>
      </c>
      <c r="W33" s="39" t="s">
        <v>63</v>
      </c>
      <c r="X33" s="263">
        <f>150-V33</f>
        <v>-720</v>
      </c>
    </row>
    <row r="34" spans="1:32" s="4" customFormat="1">
      <c r="A34" s="215"/>
      <c r="B34"/>
      <c r="C34"/>
      <c r="D34" s="1"/>
      <c r="E34"/>
      <c r="F34" s="2"/>
      <c r="G34"/>
      <c r="H34" s="95"/>
      <c r="I34" s="25" t="s">
        <v>30</v>
      </c>
      <c r="J34" s="81" t="s">
        <v>126</v>
      </c>
      <c r="K34" s="228"/>
      <c r="L34" s="227">
        <f>+K34*3</f>
        <v>0</v>
      </c>
      <c r="M34" s="164"/>
      <c r="N34" s="163">
        <f>+M34*3</f>
        <v>0</v>
      </c>
      <c r="O34" s="28">
        <v>39</v>
      </c>
      <c r="P34" s="75">
        <f t="shared" si="0"/>
        <v>150</v>
      </c>
      <c r="Q34" s="218"/>
      <c r="R34" s="320">
        <f t="shared" si="1"/>
        <v>150</v>
      </c>
      <c r="S34" s="107"/>
      <c r="T34" s="5"/>
      <c r="U34" s="58"/>
      <c r="V34" s="59"/>
      <c r="W34" s="60"/>
      <c r="X34" s="61"/>
      <c r="Y34"/>
      <c r="Z34"/>
      <c r="AA34"/>
      <c r="AB34"/>
      <c r="AC34"/>
      <c r="AD34"/>
      <c r="AE34"/>
      <c r="AF34"/>
    </row>
    <row r="35" spans="1:32">
      <c r="A35" s="215"/>
      <c r="H35" s="83"/>
      <c r="I35" s="269" t="s">
        <v>186</v>
      </c>
      <c r="J35" s="270" t="s">
        <v>187</v>
      </c>
      <c r="K35" s="271"/>
      <c r="L35" s="272">
        <v>0</v>
      </c>
      <c r="M35" s="271"/>
      <c r="N35" s="272">
        <v>0</v>
      </c>
      <c r="O35" s="271">
        <v>39</v>
      </c>
      <c r="P35" s="272">
        <f t="shared" si="0"/>
        <v>150</v>
      </c>
      <c r="Q35" s="273"/>
      <c r="R35" s="272">
        <f t="shared" si="1"/>
        <v>150</v>
      </c>
      <c r="S35" s="274"/>
      <c r="T35" s="5"/>
      <c r="U35" s="287" t="s">
        <v>288</v>
      </c>
    </row>
    <row r="36" spans="1:32">
      <c r="A36" s="215"/>
      <c r="H36" s="83"/>
      <c r="I36" s="25" t="s">
        <v>17</v>
      </c>
      <c r="J36" s="81" t="s">
        <v>123</v>
      </c>
      <c r="K36" s="228"/>
      <c r="L36" s="227">
        <f>+K36*3</f>
        <v>0</v>
      </c>
      <c r="M36" s="164"/>
      <c r="N36" s="163">
        <v>0</v>
      </c>
      <c r="O36" s="74">
        <v>25</v>
      </c>
      <c r="P36" s="75">
        <f t="shared" si="0"/>
        <v>150</v>
      </c>
      <c r="Q36" s="218"/>
      <c r="R36" s="11">
        <f t="shared" si="1"/>
        <v>150</v>
      </c>
      <c r="S36" s="107"/>
      <c r="T36" s="5"/>
    </row>
    <row r="37" spans="1:32">
      <c r="A37" s="215"/>
      <c r="H37" s="83"/>
      <c r="I37" s="25" t="s">
        <v>60</v>
      </c>
      <c r="J37" s="81" t="s">
        <v>132</v>
      </c>
      <c r="K37" s="228"/>
      <c r="L37" s="227">
        <v>0</v>
      </c>
      <c r="M37" s="164"/>
      <c r="N37" s="163">
        <v>0</v>
      </c>
      <c r="O37" s="74"/>
      <c r="P37" s="75">
        <f>IF(O37&gt;25,150,(O37)*6)</f>
        <v>0</v>
      </c>
      <c r="Q37" s="218"/>
      <c r="R37" s="11">
        <f>+L37+N37+P37+Q37</f>
        <v>0</v>
      </c>
      <c r="S37" s="107"/>
      <c r="T37" s="5"/>
    </row>
    <row r="38" spans="1:32">
      <c r="H38" s="142"/>
      <c r="I38" s="25" t="s">
        <v>233</v>
      </c>
      <c r="J38" s="81" t="s">
        <v>234</v>
      </c>
      <c r="K38" s="228"/>
      <c r="L38" s="227">
        <v>0</v>
      </c>
      <c r="M38" s="164"/>
      <c r="N38" s="163">
        <v>0</v>
      </c>
      <c r="O38" s="28"/>
      <c r="P38" s="75">
        <f t="shared" si="0"/>
        <v>0</v>
      </c>
      <c r="Q38" s="218"/>
      <c r="R38" s="57">
        <f t="shared" si="1"/>
        <v>0</v>
      </c>
      <c r="S38" s="107"/>
      <c r="T38" s="5"/>
      <c r="AF38" s="4"/>
    </row>
    <row r="39" spans="1:32">
      <c r="A39" s="215"/>
      <c r="H39" s="142"/>
      <c r="I39" s="25" t="s">
        <v>8</v>
      </c>
      <c r="J39" s="81" t="s">
        <v>120</v>
      </c>
      <c r="K39" s="228"/>
      <c r="L39" s="227">
        <v>0</v>
      </c>
      <c r="M39" s="164"/>
      <c r="N39" s="163">
        <v>0</v>
      </c>
      <c r="O39" s="28">
        <v>26</v>
      </c>
      <c r="P39" s="75">
        <f t="shared" si="0"/>
        <v>150</v>
      </c>
      <c r="Q39" s="218"/>
      <c r="R39" s="57">
        <f t="shared" si="1"/>
        <v>150</v>
      </c>
      <c r="S39" s="107"/>
      <c r="T39" s="5"/>
    </row>
    <row r="40" spans="1:32">
      <c r="A40" s="215"/>
      <c r="H40" s="83"/>
      <c r="I40" s="25" t="s">
        <v>11</v>
      </c>
      <c r="J40" s="96" t="s">
        <v>130</v>
      </c>
      <c r="K40" s="228"/>
      <c r="L40" s="227">
        <f>+K40*3</f>
        <v>0</v>
      </c>
      <c r="M40" s="164"/>
      <c r="N40" s="163">
        <f>+M40*3</f>
        <v>0</v>
      </c>
      <c r="O40" s="74"/>
      <c r="P40" s="75">
        <f t="shared" si="0"/>
        <v>0</v>
      </c>
      <c r="Q40" s="220"/>
      <c r="R40" s="11">
        <f t="shared" si="1"/>
        <v>0</v>
      </c>
      <c r="S40" s="107"/>
      <c r="T40" s="5"/>
    </row>
    <row r="41" spans="1:32">
      <c r="H41" s="83"/>
      <c r="I41" s="25" t="s">
        <v>44</v>
      </c>
      <c r="J41" s="96" t="s">
        <v>124</v>
      </c>
      <c r="K41" s="228"/>
      <c r="L41" s="227">
        <f>+K41*3</f>
        <v>0</v>
      </c>
      <c r="M41" s="164"/>
      <c r="N41" s="163">
        <f>+M41*3</f>
        <v>0</v>
      </c>
      <c r="O41" s="113"/>
      <c r="P41" s="75">
        <f t="shared" si="0"/>
        <v>0</v>
      </c>
      <c r="Q41" s="218"/>
      <c r="R41" s="11">
        <f t="shared" si="1"/>
        <v>0</v>
      </c>
      <c r="S41" s="107"/>
      <c r="T41" s="5"/>
    </row>
    <row r="42" spans="1:32">
      <c r="H42" s="83"/>
      <c r="I42" s="25" t="s">
        <v>6</v>
      </c>
      <c r="J42" s="96" t="s">
        <v>116</v>
      </c>
      <c r="K42" s="228"/>
      <c r="L42" s="227">
        <f>+K42*3</f>
        <v>0</v>
      </c>
      <c r="M42" s="164"/>
      <c r="N42" s="163">
        <f>+M42*3</f>
        <v>0</v>
      </c>
      <c r="O42" s="74">
        <v>25</v>
      </c>
      <c r="P42" s="75">
        <f t="shared" si="0"/>
        <v>150</v>
      </c>
      <c r="Q42" s="220"/>
      <c r="R42" s="11">
        <f t="shared" si="1"/>
        <v>150</v>
      </c>
      <c r="S42" s="107"/>
      <c r="T42" s="5"/>
    </row>
    <row r="43" spans="1:32">
      <c r="H43" s="95"/>
      <c r="I43" s="25" t="s">
        <v>53</v>
      </c>
      <c r="J43" s="81" t="s">
        <v>135</v>
      </c>
      <c r="K43" s="228"/>
      <c r="L43" s="227">
        <v>0</v>
      </c>
      <c r="M43" s="164"/>
      <c r="N43" s="163">
        <v>0</v>
      </c>
      <c r="O43" s="28"/>
      <c r="P43" s="75">
        <f t="shared" si="0"/>
        <v>0</v>
      </c>
      <c r="Q43" s="218"/>
      <c r="R43" s="11">
        <f t="shared" si="1"/>
        <v>0</v>
      </c>
      <c r="S43" s="107"/>
      <c r="T43" s="5"/>
    </row>
    <row r="44" spans="1:32">
      <c r="H44" s="81"/>
      <c r="I44" s="120" t="s">
        <v>12</v>
      </c>
      <c r="J44" s="150" t="s">
        <v>114</v>
      </c>
      <c r="K44" s="232"/>
      <c r="L44" s="233">
        <v>0</v>
      </c>
      <c r="M44" s="165"/>
      <c r="N44" s="166">
        <f>2.85*M44</f>
        <v>0</v>
      </c>
      <c r="O44" s="122"/>
      <c r="P44" s="147">
        <f t="shared" si="0"/>
        <v>0</v>
      </c>
      <c r="Q44" s="222"/>
      <c r="R44" s="322">
        <f t="shared" si="1"/>
        <v>0</v>
      </c>
      <c r="S44" s="148"/>
      <c r="T44" s="5"/>
    </row>
    <row r="45" spans="1:32">
      <c r="I45" s="13"/>
      <c r="J45" s="14"/>
      <c r="K45" s="234">
        <f t="shared" ref="K45:S45" si="3">SUM(K5:K44)</f>
        <v>0</v>
      </c>
      <c r="L45" s="235">
        <f t="shared" si="3"/>
        <v>0</v>
      </c>
      <c r="M45" s="167">
        <f t="shared" si="3"/>
        <v>0</v>
      </c>
      <c r="N45" s="168">
        <f t="shared" si="3"/>
        <v>0</v>
      </c>
      <c r="O45" s="77">
        <f t="shared" si="3"/>
        <v>647</v>
      </c>
      <c r="P45" s="78">
        <f t="shared" si="3"/>
        <v>3030</v>
      </c>
      <c r="Q45" s="223">
        <f t="shared" si="3"/>
        <v>0</v>
      </c>
      <c r="R45" s="78">
        <f t="shared" si="3"/>
        <v>3030</v>
      </c>
      <c r="S45" s="102">
        <f t="shared" si="3"/>
        <v>0</v>
      </c>
      <c r="T45" s="5"/>
    </row>
    <row r="46" spans="1:32">
      <c r="J46" s="200">
        <f ca="1">TODAY()</f>
        <v>43825</v>
      </c>
      <c r="K46" s="41"/>
      <c r="M46" s="42"/>
      <c r="N46" s="41"/>
      <c r="O46" s="45" t="s">
        <v>81</v>
      </c>
      <c r="Q46" s="42"/>
      <c r="R46" s="45">
        <f>+R15+R21+R25</f>
        <v>150</v>
      </c>
      <c r="T46" s="5"/>
      <c r="AC46">
        <v>4</v>
      </c>
    </row>
    <row r="47" spans="1:32" ht="15" customHeight="1">
      <c r="L47" s="43"/>
      <c r="M47" s="44"/>
      <c r="N47" s="125"/>
      <c r="O47" s="43" t="s">
        <v>91</v>
      </c>
      <c r="P47" s="114"/>
      <c r="Q47" s="110" t="s">
        <v>58</v>
      </c>
      <c r="R47" s="111">
        <f>+R45-R46</f>
        <v>2880</v>
      </c>
      <c r="S47" s="10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254" t="s">
        <v>330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255" t="s">
        <v>331</v>
      </c>
      <c r="P50" s="19"/>
      <c r="T50" s="5"/>
    </row>
    <row r="51" spans="9:29">
      <c r="I51" s="254" t="s">
        <v>332</v>
      </c>
      <c r="P51" s="19"/>
      <c r="T51" s="5"/>
    </row>
    <row r="52" spans="9:29">
      <c r="I52" s="254" t="s">
        <v>333</v>
      </c>
      <c r="P52" s="19"/>
      <c r="T52" s="5"/>
      <c r="V52" s="59"/>
      <c r="W52" s="60"/>
      <c r="X52" s="61"/>
    </row>
    <row r="53" spans="9:29">
      <c r="I53" s="254" t="s">
        <v>334</v>
      </c>
      <c r="P53" s="19"/>
      <c r="T53" s="5"/>
      <c r="U53" s="58"/>
      <c r="V53" s="59"/>
      <c r="W53" s="60"/>
      <c r="X53" s="61"/>
    </row>
    <row r="54" spans="9:29">
      <c r="U54" s="58"/>
      <c r="V54" s="59"/>
      <c r="W54" s="62"/>
      <c r="X54" s="65"/>
    </row>
    <row r="55" spans="9:29">
      <c r="U55" s="58"/>
      <c r="V55" s="59"/>
      <c r="W55" s="67"/>
      <c r="X55" s="60"/>
    </row>
    <row r="56" spans="9:29">
      <c r="U56" s="58"/>
      <c r="V56" s="59"/>
      <c r="W56" s="60"/>
      <c r="X56" s="60"/>
    </row>
    <row r="57" spans="9:29">
      <c r="U57" s="58"/>
      <c r="V57" s="59"/>
      <c r="W57" s="60"/>
      <c r="X57" s="68"/>
    </row>
    <row r="58" spans="9:29">
      <c r="U58" s="58"/>
      <c r="V58" s="59"/>
      <c r="W58" s="60"/>
      <c r="X58" s="69"/>
    </row>
    <row r="59" spans="9:29">
      <c r="U59" s="58"/>
      <c r="V59" s="59"/>
      <c r="W59" s="60"/>
      <c r="X59" s="60"/>
    </row>
    <row r="60" spans="9:29">
      <c r="U60" s="58"/>
      <c r="V60" s="59"/>
      <c r="W60" s="60"/>
      <c r="X60" s="60"/>
    </row>
    <row r="61" spans="9:29">
      <c r="U61" s="58"/>
      <c r="V61" s="59"/>
      <c r="W61" s="62"/>
      <c r="X61" s="60"/>
    </row>
    <row r="62" spans="9:29">
      <c r="U62" s="58"/>
      <c r="V62" s="59"/>
      <c r="W62" s="62"/>
      <c r="X62" s="60"/>
    </row>
    <row r="63" spans="9:29">
      <c r="U63" s="64"/>
      <c r="V63" s="59"/>
      <c r="W63" s="60"/>
      <c r="X63" s="60"/>
    </row>
    <row r="64" spans="9:29">
      <c r="U64" s="58"/>
      <c r="V64" s="66"/>
      <c r="W64" s="67"/>
      <c r="X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  <row r="68" spans="21:23">
      <c r="U68" s="60"/>
      <c r="V68" s="59"/>
      <c r="W68" s="60"/>
    </row>
    <row r="69" spans="21:23">
      <c r="U69" s="60"/>
      <c r="V69" s="59"/>
      <c r="W69" s="60"/>
    </row>
    <row r="70" spans="21:23">
      <c r="U70" s="60"/>
      <c r="V70" s="59"/>
      <c r="W70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70" priority="2" operator="lessThanOrEqual">
      <formula>0</formula>
    </cfRule>
  </conditionalFormatting>
  <conditionalFormatting sqref="R5:R44">
    <cfRule type="cellIs" dxfId="69" priority="1" operator="greaterThan">
      <formula>0</formula>
    </cfRule>
  </conditionalFormatting>
  <printOptions horizontalCentered="1"/>
  <pageMargins left="0" right="0" top="0.47244094488188981" bottom="0" header="0" footer="0"/>
  <pageSetup scale="98" orientation="portrait" r:id="rId1"/>
  <ignoredErrors>
    <ignoredError sqref="L18:P34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70"/>
  <sheetViews>
    <sheetView zoomScale="85" zoomScaleNormal="85" workbookViewId="0">
      <pane xSplit="10" ySplit="4" topLeftCell="K45" activePane="bottomRight" state="frozen"/>
      <selection pane="topRight" activeCell="K1" sqref="K1"/>
      <selection pane="bottomLeft" activeCell="A5" sqref="A5"/>
      <selection pane="bottomRight" activeCell="K45" sqref="K4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3.85546875" customWidth="1"/>
    <col min="9" max="9" width="7.42578125" customWidth="1"/>
    <col min="10" max="10" width="33.42578125" customWidth="1"/>
    <col min="11" max="11" width="1.7109375" customWidth="1"/>
    <col min="12" max="12" width="1.5703125" customWidth="1"/>
    <col min="13" max="13" width="5.28515625" customWidth="1"/>
    <col min="14" max="14" width="6.7109375" customWidth="1"/>
    <col min="15" max="15" width="6.85546875" customWidth="1"/>
    <col min="16" max="16" width="12.140625" customWidth="1"/>
    <col min="17" max="17" width="6.42578125" customWidth="1"/>
    <col min="18" max="18" width="17.28515625" customWidth="1"/>
    <col min="19" max="19" width="2.710937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>
      <c r="H2" s="83"/>
      <c r="I2" s="429" t="s">
        <v>315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285" t="s">
        <v>298</v>
      </c>
      <c r="O4" s="87" t="s">
        <v>15</v>
      </c>
      <c r="P4" s="87" t="s">
        <v>317</v>
      </c>
      <c r="Q4" s="99" t="s">
        <v>316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v>0</v>
      </c>
      <c r="O5" s="76">
        <v>1</v>
      </c>
      <c r="P5" s="75">
        <f t="shared" ref="P5:P43" si="0">IF(O5&gt;25,150,(O5)*6)</f>
        <v>6</v>
      </c>
      <c r="Q5" s="217"/>
      <c r="R5" s="11">
        <f t="shared" ref="R5:R43" si="1">+L5+N5+P5+Q5</f>
        <v>6</v>
      </c>
      <c r="S5" s="106"/>
      <c r="T5" s="5"/>
      <c r="U5" s="258"/>
      <c r="V5" s="259">
        <v>98.7</v>
      </c>
      <c r="W5" s="260">
        <v>660.5</v>
      </c>
      <c r="X5" s="242"/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261">
        <v>720</v>
      </c>
      <c r="V6" s="256" t="e">
        <f>+V5*U6/U5</f>
        <v>#DIV/0!</v>
      </c>
      <c r="W6" s="257" t="e">
        <f>+U6-V6</f>
        <v>#DIV/0!</v>
      </c>
      <c r="X6" s="36" t="s">
        <v>289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164"/>
      <c r="N7" s="163">
        <v>0</v>
      </c>
      <c r="O7" s="74">
        <v>31</v>
      </c>
      <c r="P7" s="75">
        <f t="shared" si="0"/>
        <v>150</v>
      </c>
      <c r="Q7" s="218"/>
      <c r="R7" s="320">
        <f t="shared" si="1"/>
        <v>150</v>
      </c>
      <c r="S7" s="106"/>
      <c r="T7" s="5"/>
      <c r="U7" s="32">
        <f>+U5-U6</f>
        <v>-720</v>
      </c>
      <c r="V7" s="47"/>
      <c r="W7" s="33"/>
      <c r="X7" s="262" t="s">
        <v>59</v>
      </c>
    </row>
    <row r="8" spans="8:29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/>
      <c r="P8" s="75">
        <f t="shared" si="0"/>
        <v>0</v>
      </c>
      <c r="Q8" s="218"/>
      <c r="R8" s="320">
        <f t="shared" si="1"/>
        <v>0</v>
      </c>
      <c r="S8" s="138"/>
      <c r="T8" s="5"/>
      <c r="U8" s="34">
        <v>150</v>
      </c>
      <c r="V8" s="38">
        <f>+U8-U7</f>
        <v>870</v>
      </c>
      <c r="W8" s="39" t="s">
        <v>63</v>
      </c>
      <c r="X8" s="263">
        <f>150-V8</f>
        <v>-720</v>
      </c>
    </row>
    <row r="9" spans="8:29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/>
      <c r="P9" s="75">
        <f t="shared" si="0"/>
        <v>0</v>
      </c>
      <c r="Q9" s="218"/>
      <c r="R9" s="11">
        <f t="shared" si="1"/>
        <v>0</v>
      </c>
      <c r="S9" s="107"/>
      <c r="T9" s="5"/>
      <c r="U9" s="10"/>
      <c r="X9" s="37"/>
    </row>
    <row r="10" spans="8:29" ht="15" customHeight="1">
      <c r="H10" s="95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28">
        <v>1</v>
      </c>
      <c r="P10" s="75">
        <f t="shared" si="0"/>
        <v>6</v>
      </c>
      <c r="Q10" s="218"/>
      <c r="R10" s="11">
        <f t="shared" si="1"/>
        <v>6</v>
      </c>
      <c r="S10" s="197"/>
      <c r="T10" s="5"/>
      <c r="U10" s="258"/>
      <c r="V10" s="259">
        <v>101.95</v>
      </c>
      <c r="W10" s="260">
        <v>685.25</v>
      </c>
      <c r="X10" s="286"/>
      <c r="Y10" s="266"/>
    </row>
    <row r="11" spans="8:29">
      <c r="H11" s="141"/>
      <c r="I11" s="126" t="s">
        <v>56</v>
      </c>
      <c r="J11" s="80" t="s">
        <v>136</v>
      </c>
      <c r="K11" s="226"/>
      <c r="L11" s="227">
        <v>0</v>
      </c>
      <c r="M11" s="162"/>
      <c r="N11" s="163">
        <f>2.7*M11</f>
        <v>0</v>
      </c>
      <c r="O11" s="74">
        <v>32</v>
      </c>
      <c r="P11" s="75">
        <f t="shared" si="0"/>
        <v>150</v>
      </c>
      <c r="Q11" s="217"/>
      <c r="R11" s="9">
        <f t="shared" si="1"/>
        <v>150</v>
      </c>
      <c r="S11" s="107"/>
      <c r="T11" s="5"/>
      <c r="U11" s="261">
        <v>720</v>
      </c>
      <c r="V11" s="256" t="e">
        <f>+V10*U11/U10</f>
        <v>#DIV/0!</v>
      </c>
      <c r="W11" s="257" t="e">
        <f>+U11-V11</f>
        <v>#DIV/0!</v>
      </c>
      <c r="X11" s="36" t="s">
        <v>289</v>
      </c>
    </row>
    <row r="12" spans="8:29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>
        <v>25</v>
      </c>
      <c r="P12" s="75">
        <f t="shared" si="0"/>
        <v>150</v>
      </c>
      <c r="Q12" s="218"/>
      <c r="R12" s="9">
        <f t="shared" si="1"/>
        <v>150</v>
      </c>
      <c r="S12" s="106"/>
      <c r="T12" s="5"/>
      <c r="U12" s="32">
        <f>+U10-U11</f>
        <v>-720</v>
      </c>
      <c r="V12" s="47"/>
      <c r="W12" s="33"/>
      <c r="X12" s="262" t="s">
        <v>59</v>
      </c>
    </row>
    <row r="13" spans="8:29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870</v>
      </c>
      <c r="W13" s="39" t="s">
        <v>63</v>
      </c>
      <c r="X13" s="263">
        <f>150-V13</f>
        <v>-720</v>
      </c>
    </row>
    <row r="14" spans="8:29">
      <c r="H14" s="83"/>
      <c r="I14" s="25" t="s">
        <v>20</v>
      </c>
      <c r="J14" s="81" t="s">
        <v>195</v>
      </c>
      <c r="K14" s="228"/>
      <c r="L14" s="227">
        <f>+K14*3</f>
        <v>0</v>
      </c>
      <c r="M14" s="164"/>
      <c r="N14" s="163">
        <f>+M14*3</f>
        <v>0</v>
      </c>
      <c r="O14" s="74">
        <v>29</v>
      </c>
      <c r="P14" s="75">
        <f t="shared" si="0"/>
        <v>150</v>
      </c>
      <c r="Q14" s="217"/>
      <c r="R14" s="9">
        <f t="shared" si="1"/>
        <v>150</v>
      </c>
      <c r="S14" s="107"/>
      <c r="T14" s="5"/>
      <c r="U14" s="10"/>
      <c r="X14" s="37"/>
    </row>
    <row r="15" spans="8:29">
      <c r="H15" s="251" t="s">
        <v>50</v>
      </c>
      <c r="I15" s="275" t="s">
        <v>272</v>
      </c>
      <c r="J15" s="276" t="s">
        <v>271</v>
      </c>
      <c r="K15" s="277"/>
      <c r="L15" s="278">
        <v>0</v>
      </c>
      <c r="M15" s="277"/>
      <c r="N15" s="278">
        <v>0</v>
      </c>
      <c r="O15" s="277"/>
      <c r="P15" s="278">
        <f t="shared" si="0"/>
        <v>0</v>
      </c>
      <c r="Q15" s="279"/>
      <c r="R15" s="278">
        <f t="shared" si="1"/>
        <v>0</v>
      </c>
      <c r="S15" s="280"/>
      <c r="T15" s="5"/>
      <c r="U15" s="258"/>
      <c r="V15" s="259">
        <v>96.5</v>
      </c>
      <c r="W15" s="260">
        <v>648.70000000000005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95"/>
      <c r="I16" s="25" t="s">
        <v>25</v>
      </c>
      <c r="J16" s="81" t="s">
        <v>118</v>
      </c>
      <c r="K16" s="228"/>
      <c r="L16" s="227">
        <f>+K16*3</f>
        <v>0</v>
      </c>
      <c r="M16" s="164"/>
      <c r="N16" s="163">
        <f>+M16*3</f>
        <v>0</v>
      </c>
      <c r="O16" s="28">
        <v>1</v>
      </c>
      <c r="P16" s="75">
        <f t="shared" si="0"/>
        <v>6</v>
      </c>
      <c r="Q16" s="218"/>
      <c r="R16" s="11">
        <f t="shared" si="1"/>
        <v>6</v>
      </c>
      <c r="S16" s="107"/>
      <c r="T16" s="5"/>
      <c r="U16" s="261">
        <v>720</v>
      </c>
      <c r="V16" s="256" t="e">
        <f>+V15*U16/U15</f>
        <v>#DIV/0!</v>
      </c>
      <c r="W16" s="257" t="e">
        <f>+U16-V16</f>
        <v>#DIV/0!</v>
      </c>
      <c r="X16" s="36" t="s">
        <v>289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164"/>
      <c r="N17" s="163">
        <f>+M17*3</f>
        <v>0</v>
      </c>
      <c r="O17" s="28">
        <v>33</v>
      </c>
      <c r="P17" s="75">
        <f t="shared" si="0"/>
        <v>150</v>
      </c>
      <c r="Q17" s="218"/>
      <c r="R17" s="11">
        <f t="shared" si="1"/>
        <v>150</v>
      </c>
      <c r="S17" s="107"/>
      <c r="T17" s="5"/>
      <c r="U17" s="32">
        <f>+U15-U16</f>
        <v>-720</v>
      </c>
      <c r="V17" s="47"/>
      <c r="W17" s="33"/>
      <c r="X17" s="262" t="s">
        <v>59</v>
      </c>
      <c r="Z17" s="282">
        <v>43627</v>
      </c>
      <c r="AA17" s="317">
        <v>0.5</v>
      </c>
      <c r="AB17" s="281">
        <v>2</v>
      </c>
      <c r="AC17" s="174" t="s">
        <v>157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162"/>
      <c r="N18" s="163">
        <f>5*M18</f>
        <v>0</v>
      </c>
      <c r="O18" s="76">
        <v>29</v>
      </c>
      <c r="P18" s="75">
        <f t="shared" si="0"/>
        <v>150</v>
      </c>
      <c r="Q18" s="217"/>
      <c r="R18" s="11">
        <f t="shared" si="1"/>
        <v>150</v>
      </c>
      <c r="S18" s="106"/>
      <c r="T18" s="5"/>
      <c r="U18" s="34">
        <v>150</v>
      </c>
      <c r="V18" s="38">
        <f>+U18-U17</f>
        <v>870</v>
      </c>
      <c r="W18" s="39" t="s">
        <v>63</v>
      </c>
      <c r="X18" s="263">
        <f>150-V18</f>
        <v>-720</v>
      </c>
      <c r="Z18" s="282">
        <f>1+Z17</f>
        <v>43628</v>
      </c>
      <c r="AA18" s="318">
        <v>1</v>
      </c>
      <c r="AB18" s="281">
        <v>4</v>
      </c>
      <c r="AC18" s="33" t="s">
        <v>156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164"/>
      <c r="N19" s="163">
        <f>+M19*3</f>
        <v>0</v>
      </c>
      <c r="O19" s="74">
        <v>2</v>
      </c>
      <c r="P19" s="75">
        <f t="shared" si="0"/>
        <v>12</v>
      </c>
      <c r="Q19" s="217"/>
      <c r="R19" s="9">
        <f t="shared" si="1"/>
        <v>12</v>
      </c>
      <c r="S19" s="107"/>
      <c r="T19" s="5"/>
      <c r="U19" s="10"/>
      <c r="X19" s="37"/>
      <c r="Z19" s="282">
        <f t="shared" ref="Z19:Z27" si="2">1+Z18</f>
        <v>43629</v>
      </c>
      <c r="AA19" s="318">
        <v>1</v>
      </c>
      <c r="AB19" s="281">
        <v>3</v>
      </c>
      <c r="AC19" s="33" t="s">
        <v>151</v>
      </c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164"/>
      <c r="N20" s="163">
        <v>0</v>
      </c>
      <c r="O20" s="74"/>
      <c r="P20" s="75">
        <f t="shared" si="0"/>
        <v>0</v>
      </c>
      <c r="Q20" s="217"/>
      <c r="R20" s="9">
        <f t="shared" si="1"/>
        <v>0</v>
      </c>
      <c r="S20" s="107"/>
      <c r="T20" s="5"/>
      <c r="U20" s="258"/>
      <c r="V20" s="259">
        <v>96.88</v>
      </c>
      <c r="W20" s="260">
        <v>648.32000000000005</v>
      </c>
      <c r="X20" s="100"/>
      <c r="Y20" s="266"/>
      <c r="Z20" s="282">
        <f t="shared" si="2"/>
        <v>43630</v>
      </c>
      <c r="AA20" s="318">
        <v>0.5</v>
      </c>
      <c r="AB20" s="281">
        <v>2</v>
      </c>
      <c r="AC20" s="33" t="s">
        <v>152</v>
      </c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277"/>
      <c r="N21" s="278">
        <v>0</v>
      </c>
      <c r="O21" s="277">
        <v>1</v>
      </c>
      <c r="P21" s="278">
        <f t="shared" si="0"/>
        <v>6</v>
      </c>
      <c r="Q21" s="279"/>
      <c r="R21" s="278">
        <f t="shared" si="1"/>
        <v>6</v>
      </c>
      <c r="S21" s="280"/>
      <c r="T21" s="5"/>
      <c r="U21" s="261">
        <v>720</v>
      </c>
      <c r="V21" s="256" t="e">
        <f>+V20*U21/U20</f>
        <v>#DIV/0!</v>
      </c>
      <c r="W21" s="257" t="e">
        <f>+U21-V21</f>
        <v>#DIV/0!</v>
      </c>
      <c r="X21" s="36" t="s">
        <v>289</v>
      </c>
      <c r="Z21" s="282">
        <f t="shared" si="2"/>
        <v>43631</v>
      </c>
      <c r="AA21" s="318"/>
      <c r="AB21" s="281"/>
      <c r="AC21" s="33" t="s">
        <v>153</v>
      </c>
    </row>
    <row r="22" spans="1:29" ht="15.75">
      <c r="A22" s="215"/>
      <c r="H22" s="142"/>
      <c r="I22" s="25" t="s">
        <v>4</v>
      </c>
      <c r="J22" s="81" t="s">
        <v>111</v>
      </c>
      <c r="K22" s="228"/>
      <c r="L22" s="227">
        <v>0</v>
      </c>
      <c r="M22" s="164"/>
      <c r="N22" s="163">
        <f>+M22*3</f>
        <v>0</v>
      </c>
      <c r="O22" s="28">
        <v>34</v>
      </c>
      <c r="P22" s="75">
        <f t="shared" si="0"/>
        <v>150</v>
      </c>
      <c r="Q22" s="218"/>
      <c r="R22" s="321">
        <f t="shared" si="1"/>
        <v>150</v>
      </c>
      <c r="S22" s="107"/>
      <c r="T22" s="5"/>
      <c r="U22" s="32">
        <f>+U20-U21</f>
        <v>-720</v>
      </c>
      <c r="V22" s="47"/>
      <c r="W22" s="33"/>
      <c r="X22" s="262" t="s">
        <v>59</v>
      </c>
      <c r="Z22" s="282">
        <f t="shared" si="2"/>
        <v>43632</v>
      </c>
      <c r="AA22" s="318"/>
      <c r="AB22" s="281"/>
      <c r="AC22" s="33" t="s">
        <v>154</v>
      </c>
    </row>
    <row r="23" spans="1:29" ht="15.75">
      <c r="A23" s="215"/>
      <c r="H23" s="142"/>
      <c r="I23" s="25" t="s">
        <v>9</v>
      </c>
      <c r="J23" s="81" t="s">
        <v>128</v>
      </c>
      <c r="K23" s="228"/>
      <c r="L23" s="227">
        <v>0</v>
      </c>
      <c r="M23" s="164"/>
      <c r="N23" s="163">
        <v>0</v>
      </c>
      <c r="O23" s="28">
        <v>23</v>
      </c>
      <c r="P23" s="75">
        <f t="shared" si="0"/>
        <v>138</v>
      </c>
      <c r="Q23" s="218"/>
      <c r="R23" s="321">
        <f t="shared" si="1"/>
        <v>138</v>
      </c>
      <c r="S23" s="107"/>
      <c r="T23" s="5"/>
      <c r="U23" s="34">
        <v>150</v>
      </c>
      <c r="V23" s="38">
        <f>+U23-U22</f>
        <v>870</v>
      </c>
      <c r="W23" s="39" t="s">
        <v>63</v>
      </c>
      <c r="X23" s="263">
        <f>150-V23</f>
        <v>-720</v>
      </c>
      <c r="Z23" s="282">
        <f t="shared" si="2"/>
        <v>43633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164"/>
      <c r="N24" s="163">
        <v>0</v>
      </c>
      <c r="O24" s="28">
        <v>30</v>
      </c>
      <c r="P24" s="11">
        <f t="shared" si="0"/>
        <v>150</v>
      </c>
      <c r="Q24" s="218"/>
      <c r="R24" s="240">
        <f t="shared" si="1"/>
        <v>150</v>
      </c>
      <c r="S24" s="241"/>
      <c r="T24" s="5"/>
      <c r="U24" s="10"/>
      <c r="X24" s="37"/>
      <c r="Z24" s="282">
        <f t="shared" si="2"/>
        <v>43634</v>
      </c>
      <c r="AA24" s="318"/>
      <c r="AB24" s="281"/>
      <c r="AC24" s="61"/>
    </row>
    <row r="25" spans="1:29">
      <c r="A25" s="237"/>
      <c r="B25" s="237"/>
      <c r="C25" s="237"/>
      <c r="D25" s="238"/>
      <c r="E25" s="237"/>
      <c r="F25" s="239"/>
      <c r="G25" s="237"/>
      <c r="H25" s="142"/>
      <c r="I25" s="25" t="s">
        <v>51</v>
      </c>
      <c r="J25" s="96" t="s">
        <v>134</v>
      </c>
      <c r="K25" s="29"/>
      <c r="L25" s="27">
        <f>+K25*3</f>
        <v>0</v>
      </c>
      <c r="M25" s="164"/>
      <c r="N25" s="163">
        <f>+M25*3</f>
        <v>0</v>
      </c>
      <c r="O25" s="28">
        <v>32</v>
      </c>
      <c r="P25" s="11">
        <f t="shared" si="0"/>
        <v>150</v>
      </c>
      <c r="Q25" s="218"/>
      <c r="R25" s="240">
        <f t="shared" si="1"/>
        <v>150</v>
      </c>
      <c r="S25" s="241"/>
      <c r="T25" s="5"/>
      <c r="U25" s="258"/>
      <c r="V25" s="259">
        <v>95.06</v>
      </c>
      <c r="W25" s="260">
        <v>636.14</v>
      </c>
      <c r="X25" s="100"/>
      <c r="Y25" s="266"/>
      <c r="Z25" s="282">
        <f t="shared" si="2"/>
        <v>43635</v>
      </c>
      <c r="AA25" s="318"/>
      <c r="AB25" s="281"/>
      <c r="AC25" s="61"/>
    </row>
    <row r="26" spans="1:29">
      <c r="A26" s="215"/>
      <c r="H26" s="83"/>
      <c r="I26" s="126" t="s">
        <v>61</v>
      </c>
      <c r="J26" s="80" t="s">
        <v>137</v>
      </c>
      <c r="K26" s="226"/>
      <c r="L26" s="227">
        <f>3*K26</f>
        <v>0</v>
      </c>
      <c r="M26" s="162"/>
      <c r="N26" s="163">
        <f>3*M26</f>
        <v>0</v>
      </c>
      <c r="O26" s="72"/>
      <c r="P26" s="75">
        <f t="shared" si="0"/>
        <v>0</v>
      </c>
      <c r="Q26" s="217"/>
      <c r="R26" s="11">
        <f t="shared" si="1"/>
        <v>0</v>
      </c>
      <c r="S26" s="106"/>
      <c r="T26" s="5"/>
      <c r="U26" s="261">
        <v>720</v>
      </c>
      <c r="V26" s="256" t="e">
        <f>+V25*U26/U25</f>
        <v>#DIV/0!</v>
      </c>
      <c r="W26" s="257" t="e">
        <f>+U26-V26</f>
        <v>#DIV/0!</v>
      </c>
      <c r="X26" s="36" t="s">
        <v>289</v>
      </c>
      <c r="Z26" s="282">
        <f t="shared" si="2"/>
        <v>43636</v>
      </c>
      <c r="AA26" s="318"/>
      <c r="AB26" s="281"/>
      <c r="AC26" s="65"/>
    </row>
    <row r="27" spans="1:29">
      <c r="A27" s="215"/>
      <c r="H27" s="83"/>
      <c r="I27" s="25" t="s">
        <v>14</v>
      </c>
      <c r="J27" s="96" t="s">
        <v>125</v>
      </c>
      <c r="K27" s="228"/>
      <c r="L27" s="227">
        <f>+K27*3</f>
        <v>0</v>
      </c>
      <c r="M27" s="164"/>
      <c r="N27" s="163">
        <f>3*M27</f>
        <v>0</v>
      </c>
      <c r="O27" s="74">
        <v>29</v>
      </c>
      <c r="P27" s="75">
        <f t="shared" si="0"/>
        <v>150</v>
      </c>
      <c r="Q27" s="218"/>
      <c r="R27" s="320">
        <f t="shared" si="1"/>
        <v>150</v>
      </c>
      <c r="S27" s="107"/>
      <c r="T27" s="5"/>
      <c r="U27" s="32">
        <f>+U25-U26</f>
        <v>-720</v>
      </c>
      <c r="V27" s="47"/>
      <c r="W27" s="33"/>
      <c r="X27" s="262" t="s">
        <v>59</v>
      </c>
      <c r="Z27" s="282">
        <f t="shared" si="2"/>
        <v>43637</v>
      </c>
      <c r="AA27" s="319"/>
      <c r="AB27" s="281"/>
      <c r="AC27" s="66"/>
    </row>
    <row r="28" spans="1:29">
      <c r="A28" s="215"/>
      <c r="H28" s="83"/>
      <c r="I28" s="126" t="s">
        <v>79</v>
      </c>
      <c r="J28" s="82" t="s">
        <v>110</v>
      </c>
      <c r="K28" s="228"/>
      <c r="L28" s="227">
        <v>0</v>
      </c>
      <c r="M28" s="164"/>
      <c r="N28" s="163">
        <v>0</v>
      </c>
      <c r="O28" s="76">
        <v>35</v>
      </c>
      <c r="P28" s="75">
        <f t="shared" si="0"/>
        <v>150</v>
      </c>
      <c r="Q28" s="217"/>
      <c r="R28" s="11">
        <f t="shared" si="1"/>
        <v>150</v>
      </c>
      <c r="S28" s="106"/>
      <c r="T28" s="5"/>
      <c r="U28" s="34">
        <v>150</v>
      </c>
      <c r="V28" s="38">
        <f>+U28-U27</f>
        <v>870</v>
      </c>
      <c r="W28" s="39" t="s">
        <v>63</v>
      </c>
      <c r="X28" s="263">
        <f>150-V28</f>
        <v>-720</v>
      </c>
      <c r="Z28" s="314" t="s">
        <v>150</v>
      </c>
      <c r="AA28" s="315">
        <f>SUM(AA17:AA27)</f>
        <v>3</v>
      </c>
      <c r="AB28" s="316" t="s">
        <v>148</v>
      </c>
      <c r="AC28" s="68"/>
    </row>
    <row r="29" spans="1:29">
      <c r="H29" s="83"/>
      <c r="I29" s="269" t="s">
        <v>214</v>
      </c>
      <c r="J29" s="270" t="s">
        <v>215</v>
      </c>
      <c r="K29" s="271"/>
      <c r="L29" s="272">
        <v>0</v>
      </c>
      <c r="M29" s="271"/>
      <c r="N29" s="272">
        <f>3*M29</f>
        <v>0</v>
      </c>
      <c r="O29" s="271">
        <v>30</v>
      </c>
      <c r="P29" s="272">
        <f t="shared" si="0"/>
        <v>150</v>
      </c>
      <c r="Q29" s="273"/>
      <c r="R29" s="272">
        <f t="shared" si="1"/>
        <v>150</v>
      </c>
      <c r="S29" s="274"/>
      <c r="T29" s="5"/>
      <c r="U29" s="10"/>
      <c r="X29" s="37"/>
      <c r="Z29" s="184"/>
      <c r="AA29" s="171">
        <f>SUM(AB17:AB27)</f>
        <v>11</v>
      </c>
      <c r="AB29" s="185" t="s">
        <v>149</v>
      </c>
      <c r="AC29" s="69"/>
    </row>
    <row r="30" spans="1:29" ht="16.5">
      <c r="A30" s="237"/>
      <c r="B30" s="237"/>
      <c r="C30" s="237"/>
      <c r="D30" s="238"/>
      <c r="E30" s="237"/>
      <c r="F30" s="239"/>
      <c r="G30" s="237"/>
      <c r="H30" s="142"/>
      <c r="I30" s="25" t="s">
        <v>45</v>
      </c>
      <c r="J30" s="96" t="s">
        <v>133</v>
      </c>
      <c r="K30" s="29"/>
      <c r="L30" s="27">
        <f>+K30*3</f>
        <v>0</v>
      </c>
      <c r="M30" s="164"/>
      <c r="N30" s="163">
        <f>+M30*3</f>
        <v>0</v>
      </c>
      <c r="O30" s="28">
        <v>35</v>
      </c>
      <c r="P30" s="11">
        <f t="shared" si="0"/>
        <v>150</v>
      </c>
      <c r="Q30" s="218"/>
      <c r="R30" s="240">
        <f t="shared" si="1"/>
        <v>150</v>
      </c>
      <c r="S30" s="241"/>
      <c r="T30" s="5"/>
      <c r="U30" s="258"/>
      <c r="V30" s="259">
        <v>87.41</v>
      </c>
      <c r="W30" s="260">
        <v>657.79</v>
      </c>
      <c r="X30" s="100"/>
      <c r="Y30" s="266"/>
      <c r="Z30" s="186" t="s">
        <v>160</v>
      </c>
      <c r="AA30" s="284">
        <f>+AA29/AA28</f>
        <v>3.6666666666666665</v>
      </c>
      <c r="AB30" s="173" t="s">
        <v>150</v>
      </c>
      <c r="AC30" s="65"/>
    </row>
    <row r="31" spans="1:29">
      <c r="A31" s="215"/>
      <c r="H31" s="142"/>
      <c r="I31" s="25" t="s">
        <v>13</v>
      </c>
      <c r="J31" s="81" t="s">
        <v>319</v>
      </c>
      <c r="K31" s="228"/>
      <c r="L31" s="227">
        <f>3*K31</f>
        <v>0</v>
      </c>
      <c r="M31" s="164"/>
      <c r="N31" s="163">
        <v>0</v>
      </c>
      <c r="O31" s="28">
        <v>28</v>
      </c>
      <c r="P31" s="75">
        <f t="shared" si="0"/>
        <v>150</v>
      </c>
      <c r="Q31" s="218"/>
      <c r="R31" s="57">
        <f t="shared" si="1"/>
        <v>150</v>
      </c>
      <c r="S31" s="107"/>
      <c r="T31" s="5"/>
      <c r="U31" s="261">
        <v>720</v>
      </c>
      <c r="V31" s="256" t="e">
        <f>+V30*U31/U30</f>
        <v>#DIV/0!</v>
      </c>
      <c r="W31" s="257" t="e">
        <f>+U31-V31</f>
        <v>#DIV/0!</v>
      </c>
      <c r="X31" s="36" t="s">
        <v>289</v>
      </c>
    </row>
    <row r="32" spans="1:29">
      <c r="A32" s="215"/>
      <c r="H32" s="95"/>
      <c r="I32" s="25" t="s">
        <v>31</v>
      </c>
      <c r="J32" s="81" t="s">
        <v>127</v>
      </c>
      <c r="K32" s="228"/>
      <c r="L32" s="227">
        <v>0</v>
      </c>
      <c r="M32" s="164"/>
      <c r="N32" s="163">
        <v>0</v>
      </c>
      <c r="O32" s="28">
        <v>2</v>
      </c>
      <c r="P32" s="75">
        <f t="shared" si="0"/>
        <v>12</v>
      </c>
      <c r="Q32" s="218"/>
      <c r="R32" s="11">
        <f t="shared" si="1"/>
        <v>12</v>
      </c>
      <c r="S32" s="107"/>
      <c r="T32" s="5"/>
      <c r="U32" s="32">
        <f>+U30-U31</f>
        <v>-720</v>
      </c>
      <c r="V32" s="47"/>
      <c r="W32" s="33"/>
      <c r="X32" s="262" t="s">
        <v>59</v>
      </c>
    </row>
    <row r="33" spans="1:32">
      <c r="A33" s="215"/>
      <c r="H33" s="95"/>
      <c r="I33" s="25" t="s">
        <v>30</v>
      </c>
      <c r="J33" s="81" t="s">
        <v>126</v>
      </c>
      <c r="K33" s="228"/>
      <c r="L33" s="227">
        <f>+K33*3</f>
        <v>0</v>
      </c>
      <c r="M33" s="164"/>
      <c r="N33" s="163">
        <f>+M33*3</f>
        <v>0</v>
      </c>
      <c r="O33" s="28"/>
      <c r="P33" s="75">
        <f t="shared" si="0"/>
        <v>0</v>
      </c>
      <c r="Q33" s="218"/>
      <c r="R33" s="320">
        <f t="shared" si="1"/>
        <v>0</v>
      </c>
      <c r="S33" s="107"/>
      <c r="T33" s="5"/>
      <c r="U33" s="34">
        <v>150</v>
      </c>
      <c r="V33" s="38">
        <f>+U33-U32</f>
        <v>870</v>
      </c>
      <c r="W33" s="39" t="s">
        <v>63</v>
      </c>
      <c r="X33" s="263">
        <f>150-V33</f>
        <v>-720</v>
      </c>
    </row>
    <row r="34" spans="1:32" s="4" customFormat="1">
      <c r="A34" s="215"/>
      <c r="B34"/>
      <c r="C34"/>
      <c r="D34" s="1"/>
      <c r="E34"/>
      <c r="F34" s="2"/>
      <c r="G34"/>
      <c r="H34" s="83"/>
      <c r="I34" s="269" t="s">
        <v>186</v>
      </c>
      <c r="J34" s="270" t="s">
        <v>187</v>
      </c>
      <c r="K34" s="271"/>
      <c r="L34" s="272">
        <v>0</v>
      </c>
      <c r="M34" s="271"/>
      <c r="N34" s="272">
        <v>0</v>
      </c>
      <c r="O34" s="271"/>
      <c r="P34" s="272">
        <f t="shared" si="0"/>
        <v>0</v>
      </c>
      <c r="Q34" s="273"/>
      <c r="R34" s="272">
        <f t="shared" si="1"/>
        <v>0</v>
      </c>
      <c r="S34" s="274"/>
      <c r="T34" s="5"/>
      <c r="U34" s="58"/>
      <c r="V34" s="59"/>
      <c r="W34" s="60"/>
      <c r="X34" s="61"/>
      <c r="Y34"/>
      <c r="Z34"/>
      <c r="AA34"/>
      <c r="AB34"/>
      <c r="AC34"/>
      <c r="AD34"/>
      <c r="AE34"/>
      <c r="AF34"/>
    </row>
    <row r="35" spans="1:32">
      <c r="A35" s="215"/>
      <c r="H35" s="83"/>
      <c r="I35" s="25" t="s">
        <v>17</v>
      </c>
      <c r="J35" s="81" t="s">
        <v>123</v>
      </c>
      <c r="K35" s="228"/>
      <c r="L35" s="227">
        <f>+K35*3</f>
        <v>0</v>
      </c>
      <c r="M35" s="164"/>
      <c r="N35" s="163">
        <v>0</v>
      </c>
      <c r="O35" s="74">
        <v>31</v>
      </c>
      <c r="P35" s="75">
        <f t="shared" si="0"/>
        <v>150</v>
      </c>
      <c r="Q35" s="218"/>
      <c r="R35" s="11">
        <f t="shared" si="1"/>
        <v>150</v>
      </c>
      <c r="S35" s="107"/>
      <c r="T35" s="5"/>
      <c r="U35" s="287" t="s">
        <v>288</v>
      </c>
    </row>
    <row r="36" spans="1:32">
      <c r="A36" s="215"/>
      <c r="H36" s="83"/>
      <c r="I36" s="25" t="s">
        <v>60</v>
      </c>
      <c r="J36" s="81" t="s">
        <v>132</v>
      </c>
      <c r="K36" s="228"/>
      <c r="L36" s="227">
        <v>0</v>
      </c>
      <c r="M36" s="164"/>
      <c r="N36" s="163">
        <v>0</v>
      </c>
      <c r="O36" s="74"/>
      <c r="P36" s="75">
        <f>IF(O36&gt;25,150,(O36)*6)</f>
        <v>0</v>
      </c>
      <c r="Q36" s="218"/>
      <c r="R36" s="11">
        <f>+L36+N36+P36+Q36</f>
        <v>0</v>
      </c>
      <c r="S36" s="107"/>
      <c r="T36" s="5"/>
    </row>
    <row r="37" spans="1:32">
      <c r="H37" s="142"/>
      <c r="I37" s="25" t="s">
        <v>233</v>
      </c>
      <c r="J37" s="81" t="s">
        <v>234</v>
      </c>
      <c r="K37" s="228"/>
      <c r="L37" s="227">
        <v>0</v>
      </c>
      <c r="M37" s="164"/>
      <c r="N37" s="163">
        <v>0</v>
      </c>
      <c r="O37" s="28"/>
      <c r="P37" s="75">
        <f t="shared" si="0"/>
        <v>0</v>
      </c>
      <c r="Q37" s="218"/>
      <c r="R37" s="57">
        <f t="shared" si="1"/>
        <v>0</v>
      </c>
      <c r="S37" s="107"/>
      <c r="T37" s="5"/>
    </row>
    <row r="38" spans="1:32">
      <c r="A38" s="215"/>
      <c r="H38" s="142"/>
      <c r="I38" s="25" t="s">
        <v>8</v>
      </c>
      <c r="J38" s="81" t="s">
        <v>120</v>
      </c>
      <c r="K38" s="228"/>
      <c r="L38" s="227">
        <v>0</v>
      </c>
      <c r="M38" s="164"/>
      <c r="N38" s="163">
        <v>0</v>
      </c>
      <c r="O38" s="28">
        <v>25</v>
      </c>
      <c r="P38" s="75">
        <f t="shared" si="0"/>
        <v>150</v>
      </c>
      <c r="Q38" s="218"/>
      <c r="R38" s="57">
        <f t="shared" si="1"/>
        <v>150</v>
      </c>
      <c r="S38" s="107"/>
      <c r="T38" s="5"/>
      <c r="AF38" s="4"/>
    </row>
    <row r="39" spans="1:32">
      <c r="A39" s="215"/>
      <c r="H39" s="83"/>
      <c r="I39" s="25" t="s">
        <v>11</v>
      </c>
      <c r="J39" s="96" t="s">
        <v>130</v>
      </c>
      <c r="K39" s="228"/>
      <c r="L39" s="227">
        <f>+K39*3</f>
        <v>0</v>
      </c>
      <c r="M39" s="164"/>
      <c r="N39" s="163">
        <f>+M39*3</f>
        <v>0</v>
      </c>
      <c r="O39" s="74">
        <v>1</v>
      </c>
      <c r="P39" s="75">
        <f t="shared" si="0"/>
        <v>6</v>
      </c>
      <c r="Q39" s="220"/>
      <c r="R39" s="11">
        <f t="shared" si="1"/>
        <v>6</v>
      </c>
      <c r="S39" s="107"/>
      <c r="T39" s="5"/>
    </row>
    <row r="40" spans="1:32">
      <c r="H40" s="83"/>
      <c r="I40" s="25" t="s">
        <v>44</v>
      </c>
      <c r="J40" s="96" t="s">
        <v>124</v>
      </c>
      <c r="K40" s="228"/>
      <c r="L40" s="227">
        <f>+K40*3</f>
        <v>0</v>
      </c>
      <c r="M40" s="164"/>
      <c r="N40" s="163">
        <f>+M40*3</f>
        <v>0</v>
      </c>
      <c r="O40" s="113"/>
      <c r="P40" s="75">
        <f t="shared" si="0"/>
        <v>0</v>
      </c>
      <c r="Q40" s="218"/>
      <c r="R40" s="11">
        <f t="shared" si="1"/>
        <v>0</v>
      </c>
      <c r="S40" s="107"/>
      <c r="T40" s="5"/>
    </row>
    <row r="41" spans="1:32">
      <c r="H41" s="83"/>
      <c r="I41" s="25" t="s">
        <v>6</v>
      </c>
      <c r="J41" s="96" t="s">
        <v>116</v>
      </c>
      <c r="K41" s="228"/>
      <c r="L41" s="227">
        <f>+K41*3</f>
        <v>0</v>
      </c>
      <c r="M41" s="164"/>
      <c r="N41" s="163">
        <f>+M41*3</f>
        <v>0</v>
      </c>
      <c r="O41" s="74">
        <v>23</v>
      </c>
      <c r="P41" s="75">
        <f t="shared" si="0"/>
        <v>138</v>
      </c>
      <c r="Q41" s="220"/>
      <c r="R41" s="11">
        <f t="shared" si="1"/>
        <v>138</v>
      </c>
      <c r="S41" s="107"/>
      <c r="T41" s="5"/>
    </row>
    <row r="42" spans="1:32">
      <c r="H42" s="95"/>
      <c r="I42" s="25" t="s">
        <v>53</v>
      </c>
      <c r="J42" s="81" t="s">
        <v>135</v>
      </c>
      <c r="K42" s="228"/>
      <c r="L42" s="227">
        <v>0</v>
      </c>
      <c r="M42" s="164"/>
      <c r="N42" s="163">
        <v>0</v>
      </c>
      <c r="O42" s="28">
        <v>29</v>
      </c>
      <c r="P42" s="75">
        <f t="shared" si="0"/>
        <v>150</v>
      </c>
      <c r="Q42" s="218"/>
      <c r="R42" s="11">
        <f t="shared" si="1"/>
        <v>150</v>
      </c>
      <c r="S42" s="107"/>
      <c r="T42" s="5"/>
    </row>
    <row r="43" spans="1:32">
      <c r="H43" s="81"/>
      <c r="I43" s="120" t="s">
        <v>12</v>
      </c>
      <c r="J43" s="150" t="s">
        <v>114</v>
      </c>
      <c r="K43" s="232"/>
      <c r="L43" s="233">
        <v>0</v>
      </c>
      <c r="M43" s="165"/>
      <c r="N43" s="166">
        <f>2.85*M43</f>
        <v>0</v>
      </c>
      <c r="O43" s="122">
        <v>32</v>
      </c>
      <c r="P43" s="147">
        <f t="shared" si="0"/>
        <v>150</v>
      </c>
      <c r="Q43" s="222"/>
      <c r="R43" s="322">
        <f t="shared" si="1"/>
        <v>150</v>
      </c>
      <c r="S43" s="148"/>
      <c r="T43" s="5"/>
    </row>
    <row r="44" spans="1:32">
      <c r="I44" s="13"/>
      <c r="J44" s="14"/>
      <c r="K44" s="234">
        <f t="shared" ref="K44:S44" si="3">SUM(K5:K43)</f>
        <v>0</v>
      </c>
      <c r="L44" s="235">
        <f t="shared" si="3"/>
        <v>0</v>
      </c>
      <c r="M44" s="167">
        <f t="shared" si="3"/>
        <v>0</v>
      </c>
      <c r="N44" s="168">
        <f t="shared" si="3"/>
        <v>0</v>
      </c>
      <c r="O44" s="77">
        <f t="shared" si="3"/>
        <v>604</v>
      </c>
      <c r="P44" s="78">
        <f t="shared" si="3"/>
        <v>3030</v>
      </c>
      <c r="Q44" s="223">
        <f t="shared" si="3"/>
        <v>0</v>
      </c>
      <c r="R44" s="78">
        <f t="shared" si="3"/>
        <v>3030</v>
      </c>
      <c r="S44" s="102">
        <f t="shared" si="3"/>
        <v>0</v>
      </c>
      <c r="T44" s="5"/>
    </row>
    <row r="45" spans="1:32">
      <c r="J45" s="200">
        <f ca="1">TODAY()</f>
        <v>43825</v>
      </c>
      <c r="K45" s="41"/>
      <c r="M45" s="42"/>
      <c r="N45" s="41"/>
      <c r="O45" s="45" t="s">
        <v>81</v>
      </c>
      <c r="Q45" s="42"/>
      <c r="R45" s="45">
        <f>+R15+R21</f>
        <v>6</v>
      </c>
      <c r="T45" s="5"/>
    </row>
    <row r="46" spans="1:32">
      <c r="L46" s="43"/>
      <c r="M46" s="44"/>
      <c r="N46" s="125"/>
      <c r="O46" s="43" t="s">
        <v>91</v>
      </c>
      <c r="P46" s="114"/>
      <c r="Q46" s="110" t="s">
        <v>58</v>
      </c>
      <c r="R46" s="111">
        <f>+R44-R45</f>
        <v>3024</v>
      </c>
      <c r="S46" s="109"/>
      <c r="T46" s="5"/>
      <c r="AC46">
        <v>4</v>
      </c>
    </row>
    <row r="47" spans="1:32" ht="3.95" customHeight="1">
      <c r="P47" s="1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I48" s="254" t="s">
        <v>320</v>
      </c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255" t="s">
        <v>321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254" t="s">
        <v>322</v>
      </c>
      <c r="P50" s="19"/>
      <c r="T50" s="5"/>
    </row>
    <row r="51" spans="9:29">
      <c r="I51" s="254" t="s">
        <v>323</v>
      </c>
      <c r="P51" s="19"/>
      <c r="T51" s="5"/>
    </row>
    <row r="52" spans="9:29">
      <c r="I52" s="254" t="s">
        <v>324</v>
      </c>
      <c r="P52" s="19"/>
      <c r="T52" s="5"/>
      <c r="V52" s="59"/>
      <c r="W52" s="60"/>
      <c r="X52" s="61"/>
    </row>
    <row r="53" spans="9:29">
      <c r="U53" s="58"/>
      <c r="V53" s="59"/>
      <c r="W53" s="60"/>
      <c r="X53" s="61"/>
    </row>
    <row r="54" spans="9:29">
      <c r="U54" s="58"/>
      <c r="V54" s="59"/>
      <c r="W54" s="62"/>
      <c r="X54" s="65"/>
    </row>
    <row r="55" spans="9:29">
      <c r="U55" s="58"/>
      <c r="V55" s="59"/>
      <c r="W55" s="67"/>
      <c r="X55" s="60"/>
    </row>
    <row r="56" spans="9:29">
      <c r="U56" s="58"/>
      <c r="V56" s="59"/>
      <c r="W56" s="60"/>
      <c r="X56" s="60"/>
    </row>
    <row r="57" spans="9:29">
      <c r="U57" s="58"/>
      <c r="V57" s="59"/>
      <c r="W57" s="60"/>
      <c r="X57" s="68"/>
    </row>
    <row r="58" spans="9:29">
      <c r="U58" s="58"/>
      <c r="V58" s="59"/>
      <c r="W58" s="60"/>
      <c r="X58" s="69"/>
    </row>
    <row r="59" spans="9:29">
      <c r="U59" s="58"/>
      <c r="V59" s="59"/>
      <c r="W59" s="60"/>
      <c r="X59" s="60"/>
    </row>
    <row r="60" spans="9:29">
      <c r="U60" s="58"/>
      <c r="V60" s="59"/>
      <c r="W60" s="60"/>
      <c r="X60" s="60"/>
    </row>
    <row r="61" spans="9:29">
      <c r="U61" s="58"/>
      <c r="V61" s="59"/>
      <c r="W61" s="62"/>
      <c r="X61" s="60"/>
    </row>
    <row r="62" spans="9:29">
      <c r="U62" s="58"/>
      <c r="V62" s="59"/>
      <c r="W62" s="62"/>
      <c r="X62" s="60"/>
    </row>
    <row r="63" spans="9:29">
      <c r="U63" s="64"/>
      <c r="V63" s="59"/>
      <c r="W63" s="60"/>
      <c r="X63" s="60"/>
    </row>
    <row r="64" spans="9:29">
      <c r="U64" s="58"/>
      <c r="V64" s="66"/>
      <c r="W64" s="67"/>
      <c r="X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  <row r="68" spans="21:23">
      <c r="U68" s="60"/>
      <c r="V68" s="59"/>
      <c r="W68" s="60"/>
    </row>
    <row r="69" spans="21:23">
      <c r="U69" s="60"/>
      <c r="V69" s="59"/>
      <c r="W69" s="60"/>
    </row>
    <row r="70" spans="21:23">
      <c r="U70" s="60"/>
      <c r="V70" s="59"/>
      <c r="W70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68" priority="2" operator="lessThanOrEqual">
      <formula>0</formula>
    </cfRule>
  </conditionalFormatting>
  <conditionalFormatting sqref="R5:R43">
    <cfRule type="cellIs" dxfId="67" priority="1" operator="greaterThan">
      <formula>0</formula>
    </cfRule>
  </conditionalFormatting>
  <printOptions horizontalCentered="1"/>
  <pageMargins left="0" right="0" top="0.47244094488188981" bottom="0" header="0" footer="0"/>
  <pageSetup scale="9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F70"/>
  <sheetViews>
    <sheetView zoomScale="85" zoomScaleNormal="85" workbookViewId="0">
      <pane xSplit="10" ySplit="4" topLeftCell="K45" activePane="bottomRight" state="frozen"/>
      <selection pane="topRight" activeCell="K1" sqref="K1"/>
      <selection pane="bottomLeft" activeCell="A5" sqref="A5"/>
      <selection pane="bottomRight" activeCell="Q45" sqref="Q4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3.85546875" customWidth="1"/>
    <col min="9" max="9" width="7.42578125" customWidth="1"/>
    <col min="10" max="10" width="33.42578125" customWidth="1"/>
    <col min="11" max="11" width="1.7109375" customWidth="1"/>
    <col min="12" max="12" width="1.5703125" customWidth="1"/>
    <col min="13" max="13" width="5.28515625" customWidth="1"/>
    <col min="14" max="14" width="6.7109375" customWidth="1"/>
    <col min="15" max="15" width="6.85546875" customWidth="1"/>
    <col min="16" max="16" width="12.140625" customWidth="1"/>
    <col min="17" max="17" width="6.42578125" customWidth="1"/>
    <col min="18" max="18" width="17.28515625" customWidth="1"/>
    <col min="19" max="19" width="2.710937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>
      <c r="H2" s="83"/>
      <c r="I2" s="429" t="s">
        <v>313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285" t="s">
        <v>298</v>
      </c>
      <c r="O4" s="87" t="s">
        <v>15</v>
      </c>
      <c r="P4" s="87" t="s">
        <v>314</v>
      </c>
      <c r="Q4" s="99" t="s">
        <v>318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v>0</v>
      </c>
      <c r="O5" s="76">
        <v>44</v>
      </c>
      <c r="P5" s="75">
        <f t="shared" ref="P5:P43" si="0">IF(O5&gt;25,150,(O5)*6)</f>
        <v>150</v>
      </c>
      <c r="Q5" s="217"/>
      <c r="R5" s="11">
        <f t="shared" ref="R5:R43" si="1">+L5+N5+P5+Q5</f>
        <v>150</v>
      </c>
      <c r="S5" s="106"/>
      <c r="T5" s="5"/>
      <c r="U5" s="258"/>
      <c r="V5" s="259">
        <v>98.7</v>
      </c>
      <c r="W5" s="260">
        <v>660.5</v>
      </c>
      <c r="X5" s="242"/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261">
        <v>720</v>
      </c>
      <c r="V6" s="256" t="e">
        <f>+V5*U6/U5</f>
        <v>#DIV/0!</v>
      </c>
      <c r="W6" s="257" t="e">
        <f>+U6-V6</f>
        <v>#DIV/0!</v>
      </c>
      <c r="X6" s="36" t="s">
        <v>289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164"/>
      <c r="N7" s="163">
        <v>0</v>
      </c>
      <c r="O7" s="74">
        <v>36</v>
      </c>
      <c r="P7" s="75">
        <f t="shared" si="0"/>
        <v>150</v>
      </c>
      <c r="Q7" s="218"/>
      <c r="R7" s="320">
        <f t="shared" si="1"/>
        <v>150</v>
      </c>
      <c r="S7" s="106"/>
      <c r="T7" s="5"/>
      <c r="U7" s="32">
        <f>+U5-U6</f>
        <v>-720</v>
      </c>
      <c r="V7" s="47"/>
      <c r="W7" s="33"/>
      <c r="X7" s="262" t="s">
        <v>59</v>
      </c>
    </row>
    <row r="8" spans="8:29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>
        <v>46</v>
      </c>
      <c r="P8" s="75">
        <f t="shared" si="0"/>
        <v>150</v>
      </c>
      <c r="Q8" s="218"/>
      <c r="R8" s="320">
        <f t="shared" si="1"/>
        <v>150</v>
      </c>
      <c r="S8" s="138"/>
      <c r="T8" s="5"/>
      <c r="U8" s="34">
        <v>150</v>
      </c>
      <c r="V8" s="38">
        <f>+U8-U7</f>
        <v>870</v>
      </c>
      <c r="W8" s="39" t="s">
        <v>63</v>
      </c>
      <c r="X8" s="263">
        <f>150-V8</f>
        <v>-720</v>
      </c>
    </row>
    <row r="9" spans="8:29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/>
      <c r="P9" s="75">
        <f t="shared" si="0"/>
        <v>0</v>
      </c>
      <c r="Q9" s="218"/>
      <c r="R9" s="11">
        <f t="shared" si="1"/>
        <v>0</v>
      </c>
      <c r="S9" s="107"/>
      <c r="T9" s="5"/>
      <c r="U9" s="10"/>
      <c r="X9" s="37"/>
    </row>
    <row r="10" spans="8:29" ht="15" customHeight="1">
      <c r="H10" s="95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28">
        <v>30</v>
      </c>
      <c r="P10" s="75">
        <f t="shared" si="0"/>
        <v>150</v>
      </c>
      <c r="Q10" s="218"/>
      <c r="R10" s="11">
        <f t="shared" si="1"/>
        <v>150</v>
      </c>
      <c r="S10" s="197"/>
      <c r="T10" s="5"/>
      <c r="U10" s="258"/>
      <c r="V10" s="259">
        <v>101.95</v>
      </c>
      <c r="W10" s="260">
        <v>685.25</v>
      </c>
      <c r="X10" s="286"/>
      <c r="Y10" s="266"/>
    </row>
    <row r="11" spans="8:29">
      <c r="H11" s="141"/>
      <c r="I11" s="126" t="s">
        <v>56</v>
      </c>
      <c r="J11" s="80" t="s">
        <v>136</v>
      </c>
      <c r="K11" s="226"/>
      <c r="L11" s="227">
        <v>0</v>
      </c>
      <c r="M11" s="162"/>
      <c r="N11" s="163">
        <f>2.7*M11</f>
        <v>0</v>
      </c>
      <c r="O11" s="74">
        <v>32</v>
      </c>
      <c r="P11" s="75">
        <f t="shared" si="0"/>
        <v>150</v>
      </c>
      <c r="Q11" s="217"/>
      <c r="R11" s="9">
        <f t="shared" si="1"/>
        <v>150</v>
      </c>
      <c r="S11" s="107"/>
      <c r="T11" s="5"/>
      <c r="U11" s="261">
        <v>720</v>
      </c>
      <c r="V11" s="256" t="e">
        <f>+V10*U11/U10</f>
        <v>#DIV/0!</v>
      </c>
      <c r="W11" s="257" t="e">
        <f>+U11-V11</f>
        <v>#DIV/0!</v>
      </c>
      <c r="X11" s="36" t="s">
        <v>289</v>
      </c>
    </row>
    <row r="12" spans="8:29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/>
      <c r="P12" s="75">
        <f t="shared" si="0"/>
        <v>0</v>
      </c>
      <c r="Q12" s="218"/>
      <c r="R12" s="9">
        <f t="shared" si="1"/>
        <v>0</v>
      </c>
      <c r="S12" s="106"/>
      <c r="T12" s="5"/>
      <c r="U12" s="32">
        <f>+U10-U11</f>
        <v>-720</v>
      </c>
      <c r="V12" s="47"/>
      <c r="W12" s="33"/>
      <c r="X12" s="262" t="s">
        <v>59</v>
      </c>
    </row>
    <row r="13" spans="8:29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870</v>
      </c>
      <c r="W13" s="39" t="s">
        <v>63</v>
      </c>
      <c r="X13" s="263">
        <f>150-V13</f>
        <v>-720</v>
      </c>
    </row>
    <row r="14" spans="8:29">
      <c r="H14" s="83"/>
      <c r="I14" s="25" t="s">
        <v>20</v>
      </c>
      <c r="J14" s="81" t="s">
        <v>195</v>
      </c>
      <c r="K14" s="228"/>
      <c r="L14" s="227">
        <f>+K14*3</f>
        <v>0</v>
      </c>
      <c r="M14" s="164"/>
      <c r="N14" s="163">
        <f>+M14*3</f>
        <v>0</v>
      </c>
      <c r="O14" s="74"/>
      <c r="P14" s="75">
        <f t="shared" si="0"/>
        <v>0</v>
      </c>
      <c r="Q14" s="217"/>
      <c r="R14" s="9">
        <f t="shared" si="1"/>
        <v>0</v>
      </c>
      <c r="S14" s="107"/>
      <c r="T14" s="5"/>
      <c r="U14" s="10"/>
      <c r="X14" s="37"/>
    </row>
    <row r="15" spans="8:29">
      <c r="H15" s="251" t="s">
        <v>50</v>
      </c>
      <c r="I15" s="275" t="s">
        <v>272</v>
      </c>
      <c r="J15" s="276" t="s">
        <v>271</v>
      </c>
      <c r="K15" s="277"/>
      <c r="L15" s="278">
        <v>0</v>
      </c>
      <c r="M15" s="277"/>
      <c r="N15" s="278">
        <v>0</v>
      </c>
      <c r="O15" s="277"/>
      <c r="P15" s="278">
        <f t="shared" si="0"/>
        <v>0</v>
      </c>
      <c r="Q15" s="279"/>
      <c r="R15" s="278">
        <f t="shared" si="1"/>
        <v>0</v>
      </c>
      <c r="S15" s="280"/>
      <c r="T15" s="5"/>
      <c r="U15" s="258"/>
      <c r="V15" s="259">
        <v>96.5</v>
      </c>
      <c r="W15" s="260">
        <v>648.70000000000005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95"/>
      <c r="I16" s="25" t="s">
        <v>25</v>
      </c>
      <c r="J16" s="81" t="s">
        <v>118</v>
      </c>
      <c r="K16" s="228"/>
      <c r="L16" s="227">
        <f>+K16*3</f>
        <v>0</v>
      </c>
      <c r="M16" s="164"/>
      <c r="N16" s="163">
        <f>+M16*3</f>
        <v>0</v>
      </c>
      <c r="O16" s="28">
        <v>28</v>
      </c>
      <c r="P16" s="75">
        <f t="shared" si="0"/>
        <v>150</v>
      </c>
      <c r="Q16" s="218"/>
      <c r="R16" s="11">
        <f t="shared" si="1"/>
        <v>150</v>
      </c>
      <c r="S16" s="107"/>
      <c r="T16" s="5"/>
      <c r="U16" s="261">
        <v>720</v>
      </c>
      <c r="V16" s="256" t="e">
        <f>+V15*U16/U15</f>
        <v>#DIV/0!</v>
      </c>
      <c r="W16" s="257" t="e">
        <f>+U16-V16</f>
        <v>#DIV/0!</v>
      </c>
      <c r="X16" s="36" t="s">
        <v>289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164"/>
      <c r="N17" s="163">
        <f>+M17*3</f>
        <v>0</v>
      </c>
      <c r="O17" s="28">
        <v>36</v>
      </c>
      <c r="P17" s="75">
        <f t="shared" si="0"/>
        <v>150</v>
      </c>
      <c r="Q17" s="218"/>
      <c r="R17" s="11">
        <f t="shared" si="1"/>
        <v>150</v>
      </c>
      <c r="S17" s="107"/>
      <c r="T17" s="5"/>
      <c r="U17" s="32">
        <f>+U15-U16</f>
        <v>-720</v>
      </c>
      <c r="V17" s="47"/>
      <c r="W17" s="33"/>
      <c r="X17" s="262" t="s">
        <v>59</v>
      </c>
      <c r="Z17" s="282">
        <v>43627</v>
      </c>
      <c r="AA17" s="317">
        <v>0.5</v>
      </c>
      <c r="AB17" s="281">
        <v>2</v>
      </c>
      <c r="AC17" s="174" t="s">
        <v>157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162"/>
      <c r="N18" s="163">
        <f>5*M18</f>
        <v>0</v>
      </c>
      <c r="O18" s="76"/>
      <c r="P18" s="75">
        <f t="shared" si="0"/>
        <v>0</v>
      </c>
      <c r="Q18" s="217"/>
      <c r="R18" s="11">
        <f t="shared" si="1"/>
        <v>0</v>
      </c>
      <c r="S18" s="106"/>
      <c r="T18" s="5"/>
      <c r="U18" s="34">
        <v>150</v>
      </c>
      <c r="V18" s="38">
        <f>+U18-U17</f>
        <v>870</v>
      </c>
      <c r="W18" s="39" t="s">
        <v>63</v>
      </c>
      <c r="X18" s="263">
        <f>150-V18</f>
        <v>-720</v>
      </c>
      <c r="Z18" s="282">
        <f>1+Z17</f>
        <v>43628</v>
      </c>
      <c r="AA18" s="318">
        <v>1</v>
      </c>
      <c r="AB18" s="281">
        <v>4</v>
      </c>
      <c r="AC18" s="33" t="s">
        <v>156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164"/>
      <c r="N19" s="163">
        <f>+M19*3</f>
        <v>0</v>
      </c>
      <c r="O19" s="74">
        <v>31</v>
      </c>
      <c r="P19" s="75">
        <f t="shared" si="0"/>
        <v>150</v>
      </c>
      <c r="Q19" s="217"/>
      <c r="R19" s="9">
        <f t="shared" si="1"/>
        <v>150</v>
      </c>
      <c r="S19" s="107"/>
      <c r="T19" s="5"/>
      <c r="U19" s="10"/>
      <c r="X19" s="37"/>
      <c r="Z19" s="282">
        <f t="shared" ref="Z19:Z27" si="2">1+Z18</f>
        <v>43629</v>
      </c>
      <c r="AA19" s="318">
        <v>1</v>
      </c>
      <c r="AB19" s="281">
        <v>3</v>
      </c>
      <c r="AC19" s="33" t="s">
        <v>151</v>
      </c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164"/>
      <c r="N20" s="163">
        <v>0</v>
      </c>
      <c r="O20" s="74"/>
      <c r="P20" s="75">
        <f t="shared" si="0"/>
        <v>0</v>
      </c>
      <c r="Q20" s="217"/>
      <c r="R20" s="9">
        <f t="shared" si="1"/>
        <v>0</v>
      </c>
      <c r="S20" s="107"/>
      <c r="T20" s="5"/>
      <c r="U20" s="258"/>
      <c r="V20" s="259">
        <v>96.88</v>
      </c>
      <c r="W20" s="260">
        <v>648.32000000000005</v>
      </c>
      <c r="X20" s="100"/>
      <c r="Y20" s="266"/>
      <c r="Z20" s="282">
        <f t="shared" si="2"/>
        <v>43630</v>
      </c>
      <c r="AA20" s="318">
        <v>0.5</v>
      </c>
      <c r="AB20" s="281">
        <v>2</v>
      </c>
      <c r="AC20" s="33" t="s">
        <v>152</v>
      </c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277"/>
      <c r="N21" s="278">
        <v>0</v>
      </c>
      <c r="O21" s="277">
        <v>34</v>
      </c>
      <c r="P21" s="278">
        <f t="shared" si="0"/>
        <v>150</v>
      </c>
      <c r="Q21" s="279"/>
      <c r="R21" s="278">
        <f t="shared" si="1"/>
        <v>150</v>
      </c>
      <c r="S21" s="280"/>
      <c r="T21" s="5"/>
      <c r="U21" s="261">
        <v>720</v>
      </c>
      <c r="V21" s="256" t="e">
        <f>+V20*U21/U20</f>
        <v>#DIV/0!</v>
      </c>
      <c r="W21" s="257" t="e">
        <f>+U21-V21</f>
        <v>#DIV/0!</v>
      </c>
      <c r="X21" s="36" t="s">
        <v>289</v>
      </c>
      <c r="Z21" s="282">
        <f t="shared" si="2"/>
        <v>43631</v>
      </c>
      <c r="AA21" s="318"/>
      <c r="AB21" s="281"/>
      <c r="AC21" s="33" t="s">
        <v>153</v>
      </c>
    </row>
    <row r="22" spans="1:29" ht="15.75">
      <c r="A22" s="215"/>
      <c r="H22" s="142"/>
      <c r="I22" s="25" t="s">
        <v>4</v>
      </c>
      <c r="J22" s="81" t="s">
        <v>111</v>
      </c>
      <c r="K22" s="228"/>
      <c r="L22" s="227">
        <v>0</v>
      </c>
      <c r="M22" s="164"/>
      <c r="N22" s="163">
        <f>+M22*3</f>
        <v>0</v>
      </c>
      <c r="O22" s="28">
        <v>30</v>
      </c>
      <c r="P22" s="75">
        <f t="shared" si="0"/>
        <v>150</v>
      </c>
      <c r="Q22" s="218"/>
      <c r="R22" s="321">
        <f t="shared" si="1"/>
        <v>150</v>
      </c>
      <c r="S22" s="107"/>
      <c r="T22" s="5"/>
      <c r="U22" s="32">
        <f>+U20-U21</f>
        <v>-720</v>
      </c>
      <c r="V22" s="47"/>
      <c r="W22" s="33"/>
      <c r="X22" s="262" t="s">
        <v>59</v>
      </c>
      <c r="Z22" s="282">
        <f t="shared" si="2"/>
        <v>43632</v>
      </c>
      <c r="AA22" s="318"/>
      <c r="AB22" s="281"/>
      <c r="AC22" s="33" t="s">
        <v>154</v>
      </c>
    </row>
    <row r="23" spans="1:29" ht="15.75">
      <c r="A23" s="215"/>
      <c r="H23" s="142"/>
      <c r="I23" s="25" t="s">
        <v>9</v>
      </c>
      <c r="J23" s="81" t="s">
        <v>128</v>
      </c>
      <c r="K23" s="228"/>
      <c r="L23" s="227">
        <v>0</v>
      </c>
      <c r="M23" s="164"/>
      <c r="N23" s="163">
        <v>0</v>
      </c>
      <c r="O23" s="28">
        <v>23</v>
      </c>
      <c r="P23" s="75">
        <f t="shared" si="0"/>
        <v>138</v>
      </c>
      <c r="Q23" s="218"/>
      <c r="R23" s="321">
        <f t="shared" si="1"/>
        <v>138</v>
      </c>
      <c r="S23" s="107"/>
      <c r="T23" s="5"/>
      <c r="U23" s="34">
        <v>150</v>
      </c>
      <c r="V23" s="38">
        <f>+U23-U22</f>
        <v>870</v>
      </c>
      <c r="W23" s="39" t="s">
        <v>63</v>
      </c>
      <c r="X23" s="263">
        <f>150-V23</f>
        <v>-720</v>
      </c>
      <c r="Z23" s="282">
        <f t="shared" si="2"/>
        <v>43633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164"/>
      <c r="N24" s="163">
        <v>0</v>
      </c>
      <c r="O24" s="28">
        <v>26</v>
      </c>
      <c r="P24" s="11">
        <f t="shared" si="0"/>
        <v>150</v>
      </c>
      <c r="Q24" s="218"/>
      <c r="R24" s="240">
        <f t="shared" si="1"/>
        <v>150</v>
      </c>
      <c r="S24" s="241"/>
      <c r="T24" s="5"/>
      <c r="U24" s="10"/>
      <c r="X24" s="37"/>
      <c r="Z24" s="282">
        <f t="shared" si="2"/>
        <v>43634</v>
      </c>
      <c r="AA24" s="318"/>
      <c r="AB24" s="281"/>
      <c r="AC24" s="61"/>
    </row>
    <row r="25" spans="1:29">
      <c r="A25" s="237"/>
      <c r="B25" s="237"/>
      <c r="C25" s="237"/>
      <c r="D25" s="238"/>
      <c r="E25" s="237"/>
      <c r="F25" s="239"/>
      <c r="G25" s="237"/>
      <c r="H25" s="142"/>
      <c r="I25" s="25" t="s">
        <v>51</v>
      </c>
      <c r="J25" s="96" t="s">
        <v>134</v>
      </c>
      <c r="K25" s="29"/>
      <c r="L25" s="27">
        <f>+K25*3</f>
        <v>0</v>
      </c>
      <c r="M25" s="164"/>
      <c r="N25" s="163">
        <f>+M25*3</f>
        <v>0</v>
      </c>
      <c r="O25" s="28"/>
      <c r="P25" s="11">
        <f t="shared" si="0"/>
        <v>0</v>
      </c>
      <c r="Q25" s="218"/>
      <c r="R25" s="240">
        <f t="shared" si="1"/>
        <v>0</v>
      </c>
      <c r="S25" s="241"/>
      <c r="T25" s="5"/>
      <c r="U25" s="258"/>
      <c r="V25" s="259">
        <v>95.06</v>
      </c>
      <c r="W25" s="260">
        <v>636.14</v>
      </c>
      <c r="X25" s="100"/>
      <c r="Y25" s="266"/>
      <c r="Z25" s="282">
        <f t="shared" si="2"/>
        <v>43635</v>
      </c>
      <c r="AA25" s="318"/>
      <c r="AB25" s="281"/>
      <c r="AC25" s="61"/>
    </row>
    <row r="26" spans="1:29">
      <c r="A26" s="215"/>
      <c r="H26" s="83"/>
      <c r="I26" s="126" t="s">
        <v>61</v>
      </c>
      <c r="J26" s="80" t="s">
        <v>137</v>
      </c>
      <c r="K26" s="226"/>
      <c r="L26" s="227">
        <f>3*K26</f>
        <v>0</v>
      </c>
      <c r="M26" s="162"/>
      <c r="N26" s="163">
        <f>3*M26</f>
        <v>0</v>
      </c>
      <c r="O26" s="72"/>
      <c r="P26" s="75">
        <f t="shared" si="0"/>
        <v>0</v>
      </c>
      <c r="Q26" s="217"/>
      <c r="R26" s="11">
        <f t="shared" si="1"/>
        <v>0</v>
      </c>
      <c r="S26" s="106"/>
      <c r="T26" s="5"/>
      <c r="U26" s="261">
        <v>720</v>
      </c>
      <c r="V26" s="256" t="e">
        <f>+V25*U26/U25</f>
        <v>#DIV/0!</v>
      </c>
      <c r="W26" s="257" t="e">
        <f>+U26-V26</f>
        <v>#DIV/0!</v>
      </c>
      <c r="X26" s="36" t="s">
        <v>289</v>
      </c>
      <c r="Z26" s="282">
        <f t="shared" si="2"/>
        <v>43636</v>
      </c>
      <c r="AA26" s="318"/>
      <c r="AB26" s="281"/>
      <c r="AC26" s="65"/>
    </row>
    <row r="27" spans="1:29">
      <c r="A27" s="215"/>
      <c r="H27" s="83"/>
      <c r="I27" s="25" t="s">
        <v>14</v>
      </c>
      <c r="J27" s="96" t="s">
        <v>125</v>
      </c>
      <c r="K27" s="228"/>
      <c r="L27" s="227">
        <f>+K27*3</f>
        <v>0</v>
      </c>
      <c r="M27" s="164"/>
      <c r="N27" s="163">
        <f>3*M27</f>
        <v>0</v>
      </c>
      <c r="O27" s="74">
        <v>31</v>
      </c>
      <c r="P27" s="75">
        <f t="shared" si="0"/>
        <v>150</v>
      </c>
      <c r="Q27" s="218"/>
      <c r="R27" s="320">
        <f t="shared" si="1"/>
        <v>150</v>
      </c>
      <c r="S27" s="107"/>
      <c r="T27" s="5"/>
      <c r="U27" s="32">
        <f>+U25-U26</f>
        <v>-720</v>
      </c>
      <c r="V27" s="47"/>
      <c r="W27" s="33"/>
      <c r="X27" s="262" t="s">
        <v>59</v>
      </c>
      <c r="Z27" s="282">
        <f t="shared" si="2"/>
        <v>43637</v>
      </c>
      <c r="AA27" s="319"/>
      <c r="AB27" s="281"/>
      <c r="AC27" s="66"/>
    </row>
    <row r="28" spans="1:29">
      <c r="A28" s="215"/>
      <c r="H28" s="83"/>
      <c r="I28" s="126" t="s">
        <v>79</v>
      </c>
      <c r="J28" s="82" t="s">
        <v>110</v>
      </c>
      <c r="K28" s="228"/>
      <c r="L28" s="227">
        <v>0</v>
      </c>
      <c r="M28" s="164"/>
      <c r="N28" s="163">
        <v>0</v>
      </c>
      <c r="O28" s="76"/>
      <c r="P28" s="75">
        <f t="shared" si="0"/>
        <v>0</v>
      </c>
      <c r="Q28" s="217"/>
      <c r="R28" s="11">
        <f t="shared" si="1"/>
        <v>0</v>
      </c>
      <c r="S28" s="106"/>
      <c r="T28" s="5"/>
      <c r="U28" s="34">
        <v>150</v>
      </c>
      <c r="V28" s="38">
        <f>+U28-U27</f>
        <v>870</v>
      </c>
      <c r="W28" s="39" t="s">
        <v>63</v>
      </c>
      <c r="X28" s="263">
        <f>150-V28</f>
        <v>-720</v>
      </c>
      <c r="Z28" s="314" t="s">
        <v>150</v>
      </c>
      <c r="AA28" s="315">
        <f>SUM(AA17:AA27)</f>
        <v>3</v>
      </c>
      <c r="AB28" s="316" t="s">
        <v>148</v>
      </c>
      <c r="AC28" s="68"/>
    </row>
    <row r="29" spans="1:29">
      <c r="H29" s="83"/>
      <c r="I29" s="269" t="s">
        <v>214</v>
      </c>
      <c r="J29" s="270" t="s">
        <v>215</v>
      </c>
      <c r="K29" s="271"/>
      <c r="L29" s="272">
        <v>0</v>
      </c>
      <c r="M29" s="271"/>
      <c r="N29" s="272">
        <f>3*M29</f>
        <v>0</v>
      </c>
      <c r="O29" s="271"/>
      <c r="P29" s="272">
        <f t="shared" si="0"/>
        <v>0</v>
      </c>
      <c r="Q29" s="273"/>
      <c r="R29" s="272">
        <f t="shared" si="1"/>
        <v>0</v>
      </c>
      <c r="S29" s="274"/>
      <c r="T29" s="5"/>
      <c r="U29" s="10"/>
      <c r="X29" s="37"/>
      <c r="Z29" s="184"/>
      <c r="AA29" s="171">
        <f>SUM(AB17:AB27)</f>
        <v>11</v>
      </c>
      <c r="AB29" s="185" t="s">
        <v>149</v>
      </c>
      <c r="AC29" s="69"/>
    </row>
    <row r="30" spans="1:29" ht="16.5">
      <c r="A30" s="237"/>
      <c r="B30" s="237"/>
      <c r="C30" s="237"/>
      <c r="D30" s="238"/>
      <c r="E30" s="237"/>
      <c r="F30" s="239"/>
      <c r="G30" s="237"/>
      <c r="H30" s="142"/>
      <c r="I30" s="25" t="s">
        <v>45</v>
      </c>
      <c r="J30" s="96" t="s">
        <v>133</v>
      </c>
      <c r="K30" s="29"/>
      <c r="L30" s="27">
        <f>+K30*3</f>
        <v>0</v>
      </c>
      <c r="M30" s="164"/>
      <c r="N30" s="163">
        <f>+M30*3</f>
        <v>0</v>
      </c>
      <c r="O30" s="28">
        <v>2</v>
      </c>
      <c r="P30" s="11">
        <f t="shared" si="0"/>
        <v>12</v>
      </c>
      <c r="Q30" s="218"/>
      <c r="R30" s="240">
        <f t="shared" si="1"/>
        <v>12</v>
      </c>
      <c r="S30" s="241"/>
      <c r="T30" s="5"/>
      <c r="U30" s="258"/>
      <c r="V30" s="259">
        <v>87.41</v>
      </c>
      <c r="W30" s="260">
        <v>657.79</v>
      </c>
      <c r="X30" s="100"/>
      <c r="Y30" s="266"/>
      <c r="Z30" s="186" t="s">
        <v>160</v>
      </c>
      <c r="AA30" s="284">
        <f>+AA29/AA28</f>
        <v>3.6666666666666665</v>
      </c>
      <c r="AB30" s="173" t="s">
        <v>150</v>
      </c>
      <c r="AC30" s="65"/>
    </row>
    <row r="31" spans="1:29">
      <c r="A31" s="215"/>
      <c r="H31" s="142"/>
      <c r="I31" s="25" t="s">
        <v>13</v>
      </c>
      <c r="J31" s="81" t="s">
        <v>121</v>
      </c>
      <c r="K31" s="228"/>
      <c r="L31" s="227">
        <f>3*K31</f>
        <v>0</v>
      </c>
      <c r="M31" s="164"/>
      <c r="N31" s="163">
        <v>0</v>
      </c>
      <c r="O31" s="28"/>
      <c r="P31" s="75">
        <f t="shared" si="0"/>
        <v>0</v>
      </c>
      <c r="Q31" s="218"/>
      <c r="R31" s="57">
        <f t="shared" si="1"/>
        <v>0</v>
      </c>
      <c r="S31" s="107"/>
      <c r="T31" s="5"/>
      <c r="U31" s="261">
        <v>720</v>
      </c>
      <c r="V31" s="256" t="e">
        <f>+V30*U31/U30</f>
        <v>#DIV/0!</v>
      </c>
      <c r="W31" s="257" t="e">
        <f>+U31-V31</f>
        <v>#DIV/0!</v>
      </c>
      <c r="X31" s="36" t="s">
        <v>289</v>
      </c>
    </row>
    <row r="32" spans="1:29">
      <c r="A32" s="215"/>
      <c r="H32" s="95"/>
      <c r="I32" s="25" t="s">
        <v>31</v>
      </c>
      <c r="J32" s="81" t="s">
        <v>127</v>
      </c>
      <c r="K32" s="228"/>
      <c r="L32" s="227">
        <v>0</v>
      </c>
      <c r="M32" s="164"/>
      <c r="N32" s="163">
        <v>0</v>
      </c>
      <c r="O32" s="28">
        <v>30</v>
      </c>
      <c r="P32" s="75">
        <f t="shared" si="0"/>
        <v>150</v>
      </c>
      <c r="Q32" s="218"/>
      <c r="R32" s="11">
        <f t="shared" si="1"/>
        <v>150</v>
      </c>
      <c r="S32" s="107"/>
      <c r="T32" s="5"/>
      <c r="U32" s="32">
        <f>+U30-U31</f>
        <v>-720</v>
      </c>
      <c r="V32" s="47"/>
      <c r="W32" s="33"/>
      <c r="X32" s="262" t="s">
        <v>59</v>
      </c>
    </row>
    <row r="33" spans="1:32">
      <c r="A33" s="215"/>
      <c r="H33" s="95"/>
      <c r="I33" s="25" t="s">
        <v>30</v>
      </c>
      <c r="J33" s="81" t="s">
        <v>126</v>
      </c>
      <c r="K33" s="228"/>
      <c r="L33" s="227">
        <f>+K33*3</f>
        <v>0</v>
      </c>
      <c r="M33" s="164"/>
      <c r="N33" s="163">
        <f>+M33*3</f>
        <v>0</v>
      </c>
      <c r="O33" s="28">
        <v>25</v>
      </c>
      <c r="P33" s="75">
        <f t="shared" si="0"/>
        <v>150</v>
      </c>
      <c r="Q33" s="218"/>
      <c r="R33" s="320">
        <f t="shared" si="1"/>
        <v>150</v>
      </c>
      <c r="S33" s="107"/>
      <c r="T33" s="5"/>
      <c r="U33" s="34">
        <v>150</v>
      </c>
      <c r="V33" s="38">
        <f>+U33-U32</f>
        <v>870</v>
      </c>
      <c r="W33" s="39" t="s">
        <v>63</v>
      </c>
      <c r="X33" s="263">
        <f>150-V33</f>
        <v>-720</v>
      </c>
    </row>
    <row r="34" spans="1:32" s="4" customFormat="1">
      <c r="A34" s="215"/>
      <c r="B34"/>
      <c r="C34"/>
      <c r="D34" s="1"/>
      <c r="E34"/>
      <c r="F34" s="2"/>
      <c r="G34"/>
      <c r="H34" s="83"/>
      <c r="I34" s="269" t="s">
        <v>186</v>
      </c>
      <c r="J34" s="270" t="s">
        <v>187</v>
      </c>
      <c r="K34" s="271"/>
      <c r="L34" s="272">
        <v>0</v>
      </c>
      <c r="M34" s="271"/>
      <c r="N34" s="272">
        <v>0</v>
      </c>
      <c r="O34" s="271">
        <v>1</v>
      </c>
      <c r="P34" s="272">
        <f t="shared" si="0"/>
        <v>6</v>
      </c>
      <c r="Q34" s="273"/>
      <c r="R34" s="272">
        <f t="shared" si="1"/>
        <v>6</v>
      </c>
      <c r="S34" s="274"/>
      <c r="T34" s="5"/>
      <c r="U34" s="58"/>
      <c r="V34" s="59"/>
      <c r="W34" s="60"/>
      <c r="X34" s="61"/>
      <c r="Y34"/>
      <c r="Z34"/>
      <c r="AA34"/>
      <c r="AB34"/>
      <c r="AC34"/>
      <c r="AD34"/>
      <c r="AE34"/>
      <c r="AF34"/>
    </row>
    <row r="35" spans="1:32">
      <c r="A35" s="215"/>
      <c r="H35" s="83"/>
      <c r="I35" s="25" t="s">
        <v>17</v>
      </c>
      <c r="J35" s="81" t="s">
        <v>123</v>
      </c>
      <c r="K35" s="228"/>
      <c r="L35" s="227">
        <f>+K35*3</f>
        <v>0</v>
      </c>
      <c r="M35" s="164"/>
      <c r="N35" s="163">
        <v>0</v>
      </c>
      <c r="O35" s="74">
        <v>27</v>
      </c>
      <c r="P35" s="75">
        <f t="shared" si="0"/>
        <v>150</v>
      </c>
      <c r="Q35" s="218"/>
      <c r="R35" s="11">
        <f t="shared" si="1"/>
        <v>150</v>
      </c>
      <c r="S35" s="107"/>
      <c r="T35" s="5"/>
      <c r="U35" s="287" t="s">
        <v>288</v>
      </c>
    </row>
    <row r="36" spans="1:32">
      <c r="A36" s="215"/>
      <c r="H36" s="83"/>
      <c r="I36" s="25" t="s">
        <v>60</v>
      </c>
      <c r="J36" s="81" t="s">
        <v>132</v>
      </c>
      <c r="K36" s="228"/>
      <c r="L36" s="227">
        <v>0</v>
      </c>
      <c r="M36" s="164"/>
      <c r="N36" s="163">
        <v>0</v>
      </c>
      <c r="O36" s="74"/>
      <c r="P36" s="75">
        <f>IF(O36&gt;25,150,(O36)*6)</f>
        <v>0</v>
      </c>
      <c r="Q36" s="218"/>
      <c r="R36" s="11">
        <f>+L36+N36+P36+Q36</f>
        <v>0</v>
      </c>
      <c r="S36" s="107"/>
      <c r="T36" s="5"/>
    </row>
    <row r="37" spans="1:32">
      <c r="H37" s="142"/>
      <c r="I37" s="25" t="s">
        <v>233</v>
      </c>
      <c r="J37" s="81" t="s">
        <v>234</v>
      </c>
      <c r="K37" s="228"/>
      <c r="L37" s="227">
        <v>0</v>
      </c>
      <c r="M37" s="164"/>
      <c r="N37" s="163">
        <v>0</v>
      </c>
      <c r="O37" s="28"/>
      <c r="P37" s="75">
        <f t="shared" si="0"/>
        <v>0</v>
      </c>
      <c r="Q37" s="218"/>
      <c r="R37" s="57">
        <f t="shared" si="1"/>
        <v>0</v>
      </c>
      <c r="S37" s="107"/>
      <c r="T37" s="5"/>
    </row>
    <row r="38" spans="1:32">
      <c r="A38" s="215"/>
      <c r="H38" s="142"/>
      <c r="I38" s="25" t="s">
        <v>8</v>
      </c>
      <c r="J38" s="81" t="s">
        <v>120</v>
      </c>
      <c r="K38" s="228"/>
      <c r="L38" s="227">
        <v>0</v>
      </c>
      <c r="M38" s="164"/>
      <c r="N38" s="163">
        <v>0</v>
      </c>
      <c r="O38" s="28"/>
      <c r="P38" s="75">
        <f t="shared" si="0"/>
        <v>0</v>
      </c>
      <c r="Q38" s="218"/>
      <c r="R38" s="57">
        <f t="shared" si="1"/>
        <v>0</v>
      </c>
      <c r="S38" s="107"/>
      <c r="T38" s="5"/>
      <c r="AF38" s="4"/>
    </row>
    <row r="39" spans="1:32">
      <c r="A39" s="215"/>
      <c r="H39" s="83"/>
      <c r="I39" s="25" t="s">
        <v>11</v>
      </c>
      <c r="J39" s="96" t="s">
        <v>130</v>
      </c>
      <c r="K39" s="228"/>
      <c r="L39" s="227">
        <f>+K39*3</f>
        <v>0</v>
      </c>
      <c r="M39" s="164"/>
      <c r="N39" s="163">
        <f>+M39*3</f>
        <v>0</v>
      </c>
      <c r="O39" s="74">
        <v>34</v>
      </c>
      <c r="P39" s="75">
        <f t="shared" si="0"/>
        <v>150</v>
      </c>
      <c r="Q39" s="220"/>
      <c r="R39" s="11">
        <f t="shared" si="1"/>
        <v>150</v>
      </c>
      <c r="S39" s="107"/>
      <c r="T39" s="5"/>
    </row>
    <row r="40" spans="1:32">
      <c r="H40" s="83"/>
      <c r="I40" s="25" t="s">
        <v>44</v>
      </c>
      <c r="J40" s="96" t="s">
        <v>124</v>
      </c>
      <c r="K40" s="228"/>
      <c r="L40" s="227">
        <f>+K40*3</f>
        <v>0</v>
      </c>
      <c r="M40" s="164"/>
      <c r="N40" s="163">
        <f>+M40*3</f>
        <v>0</v>
      </c>
      <c r="O40" s="113"/>
      <c r="P40" s="75">
        <f t="shared" si="0"/>
        <v>0</v>
      </c>
      <c r="Q40" s="218"/>
      <c r="R40" s="11">
        <f t="shared" si="1"/>
        <v>0</v>
      </c>
      <c r="S40" s="107"/>
      <c r="T40" s="5"/>
    </row>
    <row r="41" spans="1:32">
      <c r="H41" s="83"/>
      <c r="I41" s="25" t="s">
        <v>6</v>
      </c>
      <c r="J41" s="96" t="s">
        <v>116</v>
      </c>
      <c r="K41" s="228"/>
      <c r="L41" s="227">
        <f>+K41*3</f>
        <v>0</v>
      </c>
      <c r="M41" s="164"/>
      <c r="N41" s="163">
        <f>+M41*3</f>
        <v>0</v>
      </c>
      <c r="O41" s="74">
        <v>26</v>
      </c>
      <c r="P41" s="75">
        <f t="shared" si="0"/>
        <v>150</v>
      </c>
      <c r="Q41" s="220"/>
      <c r="R41" s="11">
        <f t="shared" si="1"/>
        <v>150</v>
      </c>
      <c r="S41" s="107"/>
      <c r="T41" s="5"/>
    </row>
    <row r="42" spans="1:32">
      <c r="H42" s="95"/>
      <c r="I42" s="25" t="s">
        <v>53</v>
      </c>
      <c r="J42" s="81" t="s">
        <v>135</v>
      </c>
      <c r="K42" s="228"/>
      <c r="L42" s="227">
        <v>0</v>
      </c>
      <c r="M42" s="164"/>
      <c r="N42" s="163">
        <v>0</v>
      </c>
      <c r="O42" s="28">
        <v>25</v>
      </c>
      <c r="P42" s="75">
        <f t="shared" si="0"/>
        <v>150</v>
      </c>
      <c r="Q42" s="218"/>
      <c r="R42" s="11">
        <f t="shared" si="1"/>
        <v>150</v>
      </c>
      <c r="S42" s="107"/>
      <c r="T42" s="5"/>
    </row>
    <row r="43" spans="1:32">
      <c r="H43" s="81"/>
      <c r="I43" s="120" t="s">
        <v>12</v>
      </c>
      <c r="J43" s="150" t="s">
        <v>114</v>
      </c>
      <c r="K43" s="232"/>
      <c r="L43" s="233">
        <v>0</v>
      </c>
      <c r="M43" s="165"/>
      <c r="N43" s="166">
        <f>2.85*M43</f>
        <v>0</v>
      </c>
      <c r="O43" s="122">
        <v>29</v>
      </c>
      <c r="P43" s="147">
        <f t="shared" si="0"/>
        <v>150</v>
      </c>
      <c r="Q43" s="222"/>
      <c r="R43" s="322">
        <f t="shared" si="1"/>
        <v>150</v>
      </c>
      <c r="S43" s="148"/>
      <c r="T43" s="5"/>
    </row>
    <row r="44" spans="1:32">
      <c r="I44" s="13"/>
      <c r="J44" s="14"/>
      <c r="K44" s="234">
        <f t="shared" ref="K44:S44" si="3">SUM(K5:K43)</f>
        <v>0</v>
      </c>
      <c r="L44" s="235">
        <f t="shared" si="3"/>
        <v>0</v>
      </c>
      <c r="M44" s="167">
        <f t="shared" si="3"/>
        <v>0</v>
      </c>
      <c r="N44" s="168">
        <f t="shared" si="3"/>
        <v>0</v>
      </c>
      <c r="O44" s="77">
        <f t="shared" si="3"/>
        <v>626</v>
      </c>
      <c r="P44" s="78">
        <f t="shared" si="3"/>
        <v>3006</v>
      </c>
      <c r="Q44" s="223">
        <f t="shared" si="3"/>
        <v>0</v>
      </c>
      <c r="R44" s="78">
        <f t="shared" si="3"/>
        <v>3006</v>
      </c>
      <c r="S44" s="102">
        <f t="shared" si="3"/>
        <v>0</v>
      </c>
      <c r="T44" s="5"/>
    </row>
    <row r="45" spans="1:32">
      <c r="J45" s="200">
        <f ca="1">TODAY()</f>
        <v>43825</v>
      </c>
      <c r="K45" s="41"/>
      <c r="M45" s="42"/>
      <c r="N45" s="41"/>
      <c r="O45" s="45" t="s">
        <v>81</v>
      </c>
      <c r="Q45" s="42"/>
      <c r="R45" s="45">
        <f>+R15+R21</f>
        <v>150</v>
      </c>
      <c r="T45" s="5"/>
    </row>
    <row r="46" spans="1:32">
      <c r="L46" s="43"/>
      <c r="M46" s="44"/>
      <c r="N46" s="125"/>
      <c r="O46" s="43" t="s">
        <v>91</v>
      </c>
      <c r="P46" s="114"/>
      <c r="Q46" s="110" t="s">
        <v>58</v>
      </c>
      <c r="R46" s="111">
        <f>+R44-R45</f>
        <v>2856</v>
      </c>
      <c r="S46" s="109"/>
      <c r="T46" s="5"/>
      <c r="AC46">
        <v>4</v>
      </c>
    </row>
    <row r="47" spans="1:32" ht="3.95" customHeight="1">
      <c r="P47" s="1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I48" s="254" t="s">
        <v>308</v>
      </c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255" t="s">
        <v>309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254" t="s">
        <v>310</v>
      </c>
      <c r="P50" s="19"/>
      <c r="T50" s="5"/>
    </row>
    <row r="51" spans="9:29">
      <c r="I51" s="254" t="s">
        <v>311</v>
      </c>
      <c r="P51" s="19"/>
      <c r="T51" s="5"/>
    </row>
    <row r="52" spans="9:29">
      <c r="I52" s="254" t="s">
        <v>312</v>
      </c>
      <c r="P52" s="19"/>
      <c r="T52" s="5"/>
      <c r="V52" s="59"/>
      <c r="W52" s="60"/>
      <c r="X52" s="61"/>
    </row>
    <row r="53" spans="9:29">
      <c r="U53" s="58"/>
      <c r="V53" s="59"/>
      <c r="W53" s="60"/>
      <c r="X53" s="61"/>
    </row>
    <row r="54" spans="9:29">
      <c r="U54" s="58"/>
      <c r="V54" s="59"/>
      <c r="W54" s="62"/>
      <c r="X54" s="65"/>
    </row>
    <row r="55" spans="9:29">
      <c r="U55" s="58"/>
      <c r="V55" s="59"/>
      <c r="W55" s="67"/>
      <c r="X55" s="60"/>
    </row>
    <row r="56" spans="9:29">
      <c r="U56" s="58"/>
      <c r="V56" s="59"/>
      <c r="W56" s="60"/>
      <c r="X56" s="60"/>
    </row>
    <row r="57" spans="9:29">
      <c r="U57" s="58"/>
      <c r="V57" s="59"/>
      <c r="W57" s="60"/>
      <c r="X57" s="68"/>
    </row>
    <row r="58" spans="9:29">
      <c r="U58" s="58"/>
      <c r="V58" s="59"/>
      <c r="W58" s="60"/>
      <c r="X58" s="69"/>
    </row>
    <row r="59" spans="9:29">
      <c r="U59" s="58"/>
      <c r="V59" s="59"/>
      <c r="W59" s="60"/>
      <c r="X59" s="60"/>
    </row>
    <row r="60" spans="9:29">
      <c r="U60" s="58"/>
      <c r="V60" s="59"/>
      <c r="W60" s="60"/>
      <c r="X60" s="60"/>
    </row>
    <row r="61" spans="9:29">
      <c r="U61" s="58"/>
      <c r="V61" s="59"/>
      <c r="W61" s="62"/>
      <c r="X61" s="60"/>
    </row>
    <row r="62" spans="9:29">
      <c r="U62" s="58"/>
      <c r="V62" s="59"/>
      <c r="W62" s="62"/>
      <c r="X62" s="60"/>
    </row>
    <row r="63" spans="9:29">
      <c r="U63" s="64"/>
      <c r="V63" s="59"/>
      <c r="W63" s="60"/>
      <c r="X63" s="60"/>
    </row>
    <row r="64" spans="9:29">
      <c r="U64" s="58"/>
      <c r="V64" s="66"/>
      <c r="W64" s="67"/>
      <c r="X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  <row r="68" spans="21:23">
      <c r="U68" s="60"/>
      <c r="V68" s="59"/>
      <c r="W68" s="60"/>
    </row>
    <row r="69" spans="21:23">
      <c r="U69" s="60"/>
      <c r="V69" s="59"/>
      <c r="W69" s="60"/>
    </row>
    <row r="70" spans="21:23">
      <c r="U70" s="60"/>
      <c r="V70" s="59"/>
      <c r="W70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66" priority="2" operator="lessThanOrEqual">
      <formula>0</formula>
    </cfRule>
  </conditionalFormatting>
  <conditionalFormatting sqref="R5:R43">
    <cfRule type="cellIs" dxfId="65" priority="1" operator="greaterThan">
      <formula>0</formula>
    </cfRule>
  </conditionalFormatting>
  <printOptions horizontalCentered="1"/>
  <pageMargins left="0" right="0" top="0.47244094488188981" bottom="0" header="0" footer="0"/>
  <pageSetup scale="10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F70"/>
  <sheetViews>
    <sheetView zoomScale="85" zoomScaleNormal="85" workbookViewId="0">
      <pane xSplit="10" ySplit="4" topLeftCell="K45" activePane="bottomRight" state="frozen"/>
      <selection pane="topRight" activeCell="K1" sqref="K1"/>
      <selection pane="bottomLeft" activeCell="A5" sqref="A5"/>
      <selection pane="bottomRight" activeCell="H45" sqref="H4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" customWidth="1"/>
    <col min="9" max="9" width="7.42578125" customWidth="1"/>
    <col min="10" max="10" width="21.5703125" customWidth="1"/>
    <col min="11" max="11" width="1.7109375" customWidth="1"/>
    <col min="12" max="12" width="1.5703125" customWidth="1"/>
    <col min="13" max="13" width="5.28515625" customWidth="1"/>
    <col min="14" max="14" width="6.7109375" customWidth="1"/>
    <col min="15" max="15" width="6.140625" customWidth="1"/>
    <col min="16" max="16" width="11.42578125" customWidth="1"/>
    <col min="17" max="17" width="5.5703125" customWidth="1"/>
    <col min="18" max="18" width="17.28515625" customWidth="1"/>
    <col min="19" max="19" width="2.710937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>
      <c r="H2" s="83"/>
      <c r="I2" s="429" t="s">
        <v>305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285" t="s">
        <v>298</v>
      </c>
      <c r="O4" s="87" t="s">
        <v>15</v>
      </c>
      <c r="P4" s="87" t="s">
        <v>306</v>
      </c>
      <c r="Q4" s="99" t="s">
        <v>307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v>0</v>
      </c>
      <c r="O5" s="76">
        <v>46</v>
      </c>
      <c r="P5" s="75">
        <f t="shared" ref="P5:P43" si="0">IF(O5&gt;25,150,(O5)*6)</f>
        <v>150</v>
      </c>
      <c r="Q5" s="217"/>
      <c r="R5" s="11">
        <f t="shared" ref="R5:R43" si="1">+L5+N5+P5+Q5</f>
        <v>150</v>
      </c>
      <c r="S5" s="106"/>
      <c r="T5" s="5"/>
      <c r="U5" s="258"/>
      <c r="V5" s="259">
        <v>98.7</v>
      </c>
      <c r="W5" s="260">
        <v>660.5</v>
      </c>
      <c r="X5" s="242"/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261">
        <v>720</v>
      </c>
      <c r="V6" s="256" t="e">
        <f>+V5*U6/U5</f>
        <v>#DIV/0!</v>
      </c>
      <c r="W6" s="257" t="e">
        <f>+U6-V6</f>
        <v>#DIV/0!</v>
      </c>
      <c r="X6" s="36" t="s">
        <v>289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164"/>
      <c r="N7" s="163">
        <v>0</v>
      </c>
      <c r="O7" s="74">
        <v>2</v>
      </c>
      <c r="P7" s="75">
        <f t="shared" si="0"/>
        <v>12</v>
      </c>
      <c r="Q7" s="218"/>
      <c r="R7" s="320">
        <f t="shared" si="1"/>
        <v>12</v>
      </c>
      <c r="S7" s="106"/>
      <c r="T7" s="5"/>
      <c r="U7" s="32">
        <f>+U5-U6</f>
        <v>-720</v>
      </c>
      <c r="V7" s="47"/>
      <c r="W7" s="33"/>
      <c r="X7" s="262" t="s">
        <v>59</v>
      </c>
    </row>
    <row r="8" spans="8:29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>
        <v>45</v>
      </c>
      <c r="P8" s="75">
        <f t="shared" si="0"/>
        <v>150</v>
      </c>
      <c r="Q8" s="218"/>
      <c r="R8" s="320">
        <f t="shared" si="1"/>
        <v>150</v>
      </c>
      <c r="S8" s="138"/>
      <c r="T8" s="5"/>
      <c r="U8" s="34">
        <v>150</v>
      </c>
      <c r="V8" s="38">
        <f>+U8-U7</f>
        <v>870</v>
      </c>
      <c r="W8" s="39" t="s">
        <v>63</v>
      </c>
      <c r="X8" s="263">
        <f>150-V8</f>
        <v>-720</v>
      </c>
    </row>
    <row r="9" spans="8:29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/>
      <c r="P9" s="75">
        <f t="shared" si="0"/>
        <v>0</v>
      </c>
      <c r="Q9" s="218"/>
      <c r="R9" s="11">
        <f t="shared" si="1"/>
        <v>0</v>
      </c>
      <c r="S9" s="107"/>
      <c r="T9" s="5"/>
      <c r="U9" s="10"/>
      <c r="X9" s="37"/>
    </row>
    <row r="10" spans="8:29" ht="15" customHeight="1">
      <c r="H10" s="95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28">
        <v>35</v>
      </c>
      <c r="P10" s="75">
        <f t="shared" si="0"/>
        <v>150</v>
      </c>
      <c r="Q10" s="218"/>
      <c r="R10" s="11">
        <f t="shared" si="1"/>
        <v>150</v>
      </c>
      <c r="S10" s="197"/>
      <c r="T10" s="5"/>
      <c r="U10" s="258"/>
      <c r="V10" s="259">
        <v>101.95</v>
      </c>
      <c r="W10" s="260">
        <v>685.25</v>
      </c>
      <c r="X10" s="286"/>
      <c r="Y10" s="266"/>
    </row>
    <row r="11" spans="8:29">
      <c r="H11" s="141"/>
      <c r="I11" s="126" t="s">
        <v>56</v>
      </c>
      <c r="J11" s="80" t="s">
        <v>136</v>
      </c>
      <c r="K11" s="226"/>
      <c r="L11" s="227">
        <v>0</v>
      </c>
      <c r="M11" s="162"/>
      <c r="N11" s="163">
        <f>2.7*M11</f>
        <v>0</v>
      </c>
      <c r="O11" s="74">
        <v>36</v>
      </c>
      <c r="P11" s="75">
        <f t="shared" si="0"/>
        <v>150</v>
      </c>
      <c r="Q11" s="217"/>
      <c r="R11" s="9">
        <f t="shared" si="1"/>
        <v>150</v>
      </c>
      <c r="S11" s="107"/>
      <c r="T11" s="5"/>
      <c r="U11" s="261">
        <v>720</v>
      </c>
      <c r="V11" s="256" t="e">
        <f>+V10*U11/U10</f>
        <v>#DIV/0!</v>
      </c>
      <c r="W11" s="257" t="e">
        <f>+U11-V11</f>
        <v>#DIV/0!</v>
      </c>
      <c r="X11" s="36" t="s">
        <v>289</v>
      </c>
    </row>
    <row r="12" spans="8:29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>
        <v>25</v>
      </c>
      <c r="P12" s="75">
        <f t="shared" si="0"/>
        <v>150</v>
      </c>
      <c r="Q12" s="218"/>
      <c r="R12" s="9">
        <f t="shared" si="1"/>
        <v>150</v>
      </c>
      <c r="S12" s="106"/>
      <c r="T12" s="5"/>
      <c r="U12" s="32">
        <f>+U10-U11</f>
        <v>-720</v>
      </c>
      <c r="V12" s="47"/>
      <c r="W12" s="33"/>
      <c r="X12" s="262" t="s">
        <v>59</v>
      </c>
    </row>
    <row r="13" spans="8:29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870</v>
      </c>
      <c r="W13" s="39" t="s">
        <v>63</v>
      </c>
      <c r="X13" s="263">
        <f>150-V13</f>
        <v>-720</v>
      </c>
    </row>
    <row r="14" spans="8:29">
      <c r="H14" s="214" t="s">
        <v>250</v>
      </c>
      <c r="I14" s="188" t="s">
        <v>20</v>
      </c>
      <c r="J14" s="242" t="s">
        <v>195</v>
      </c>
      <c r="K14" s="192"/>
      <c r="L14" s="193">
        <f>+K14*3</f>
        <v>0</v>
      </c>
      <c r="M14" s="192"/>
      <c r="N14" s="193">
        <f>+M14*3</f>
        <v>0</v>
      </c>
      <c r="O14" s="192">
        <v>1</v>
      </c>
      <c r="P14" s="193">
        <f t="shared" si="0"/>
        <v>6</v>
      </c>
      <c r="Q14" s="221"/>
      <c r="R14" s="193">
        <f t="shared" si="1"/>
        <v>6</v>
      </c>
      <c r="S14" s="197"/>
      <c r="T14" s="5"/>
      <c r="U14" s="10"/>
      <c r="X14" s="37"/>
    </row>
    <row r="15" spans="8:29">
      <c r="H15" s="251" t="s">
        <v>50</v>
      </c>
      <c r="I15" s="275" t="s">
        <v>272</v>
      </c>
      <c r="J15" s="276" t="s">
        <v>271</v>
      </c>
      <c r="K15" s="277"/>
      <c r="L15" s="278">
        <v>0</v>
      </c>
      <c r="M15" s="277"/>
      <c r="N15" s="278">
        <v>0</v>
      </c>
      <c r="O15" s="277"/>
      <c r="P15" s="278">
        <f t="shared" si="0"/>
        <v>0</v>
      </c>
      <c r="Q15" s="279"/>
      <c r="R15" s="278">
        <f t="shared" si="1"/>
        <v>0</v>
      </c>
      <c r="S15" s="280"/>
      <c r="T15" s="5"/>
      <c r="U15" s="258"/>
      <c r="V15" s="259">
        <v>96.5</v>
      </c>
      <c r="W15" s="260">
        <v>648.70000000000005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95"/>
      <c r="I16" s="25" t="s">
        <v>25</v>
      </c>
      <c r="J16" s="81" t="s">
        <v>118</v>
      </c>
      <c r="K16" s="228"/>
      <c r="L16" s="227">
        <f>+K16*3</f>
        <v>0</v>
      </c>
      <c r="M16" s="164"/>
      <c r="N16" s="163">
        <f>+M16*3</f>
        <v>0</v>
      </c>
      <c r="O16" s="28">
        <v>32</v>
      </c>
      <c r="P16" s="75">
        <f t="shared" si="0"/>
        <v>150</v>
      </c>
      <c r="Q16" s="218"/>
      <c r="R16" s="11">
        <f t="shared" si="1"/>
        <v>150</v>
      </c>
      <c r="S16" s="107"/>
      <c r="T16" s="5"/>
      <c r="U16" s="261">
        <v>720</v>
      </c>
      <c r="V16" s="256" t="e">
        <f>+V15*U16/U15</f>
        <v>#DIV/0!</v>
      </c>
      <c r="W16" s="257" t="e">
        <f>+U16-V16</f>
        <v>#DIV/0!</v>
      </c>
      <c r="X16" s="36" t="s">
        <v>289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164"/>
      <c r="N17" s="163">
        <f>+M17*3</f>
        <v>0</v>
      </c>
      <c r="O17" s="28">
        <v>39</v>
      </c>
      <c r="P17" s="75">
        <f t="shared" si="0"/>
        <v>150</v>
      </c>
      <c r="Q17" s="218"/>
      <c r="R17" s="11">
        <f t="shared" si="1"/>
        <v>150</v>
      </c>
      <c r="S17" s="107"/>
      <c r="T17" s="5"/>
      <c r="U17" s="32">
        <f>+U15-U16</f>
        <v>-720</v>
      </c>
      <c r="V17" s="47"/>
      <c r="W17" s="33"/>
      <c r="X17" s="262" t="s">
        <v>59</v>
      </c>
      <c r="Z17" s="282">
        <v>43627</v>
      </c>
      <c r="AA17" s="317">
        <v>0.5</v>
      </c>
      <c r="AB17" s="281">
        <v>2</v>
      </c>
      <c r="AC17" s="174" t="s">
        <v>157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162"/>
      <c r="N18" s="163">
        <f>5*M18</f>
        <v>0</v>
      </c>
      <c r="O18" s="76"/>
      <c r="P18" s="75">
        <f t="shared" si="0"/>
        <v>0</v>
      </c>
      <c r="Q18" s="217"/>
      <c r="R18" s="11">
        <f t="shared" si="1"/>
        <v>0</v>
      </c>
      <c r="S18" s="106"/>
      <c r="T18" s="5"/>
      <c r="U18" s="34">
        <v>150</v>
      </c>
      <c r="V18" s="38">
        <f>+U18-U17</f>
        <v>870</v>
      </c>
      <c r="W18" s="39" t="s">
        <v>63</v>
      </c>
      <c r="X18" s="263">
        <f>150-V18</f>
        <v>-720</v>
      </c>
      <c r="Z18" s="282">
        <f>1+Z17</f>
        <v>43628</v>
      </c>
      <c r="AA18" s="318">
        <v>1</v>
      </c>
      <c r="AB18" s="281">
        <v>4</v>
      </c>
      <c r="AC18" s="33" t="s">
        <v>156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164"/>
      <c r="N19" s="163">
        <f>+M19*3</f>
        <v>0</v>
      </c>
      <c r="O19" s="74">
        <v>36</v>
      </c>
      <c r="P19" s="75">
        <f t="shared" si="0"/>
        <v>150</v>
      </c>
      <c r="Q19" s="217"/>
      <c r="R19" s="9">
        <f t="shared" si="1"/>
        <v>150</v>
      </c>
      <c r="S19" s="107"/>
      <c r="T19" s="5"/>
      <c r="U19" s="10"/>
      <c r="X19" s="37"/>
      <c r="Z19" s="282">
        <f t="shared" ref="Z19:Z27" si="2">1+Z18</f>
        <v>43629</v>
      </c>
      <c r="AA19" s="318">
        <v>1</v>
      </c>
      <c r="AB19" s="281">
        <v>3</v>
      </c>
      <c r="AC19" s="33" t="s">
        <v>151</v>
      </c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164"/>
      <c r="N20" s="163">
        <v>0</v>
      </c>
      <c r="O20" s="74"/>
      <c r="P20" s="75">
        <f t="shared" si="0"/>
        <v>0</v>
      </c>
      <c r="Q20" s="217"/>
      <c r="R20" s="9">
        <f t="shared" si="1"/>
        <v>0</v>
      </c>
      <c r="S20" s="107"/>
      <c r="T20" s="5"/>
      <c r="U20" s="258"/>
      <c r="V20" s="259">
        <v>96.88</v>
      </c>
      <c r="W20" s="260">
        <v>648.32000000000005</v>
      </c>
      <c r="X20" s="100"/>
      <c r="Y20" s="266"/>
      <c r="Z20" s="282">
        <f t="shared" si="2"/>
        <v>43630</v>
      </c>
      <c r="AA20" s="318">
        <v>0.5</v>
      </c>
      <c r="AB20" s="281">
        <v>2</v>
      </c>
      <c r="AC20" s="33" t="s">
        <v>152</v>
      </c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277"/>
      <c r="N21" s="278">
        <v>0</v>
      </c>
      <c r="O21" s="277">
        <v>29</v>
      </c>
      <c r="P21" s="278">
        <f t="shared" si="0"/>
        <v>150</v>
      </c>
      <c r="Q21" s="279"/>
      <c r="R21" s="278">
        <f t="shared" si="1"/>
        <v>150</v>
      </c>
      <c r="S21" s="280"/>
      <c r="T21" s="5"/>
      <c r="U21" s="261">
        <v>720</v>
      </c>
      <c r="V21" s="256" t="e">
        <f>+V20*U21/U20</f>
        <v>#DIV/0!</v>
      </c>
      <c r="W21" s="257" t="e">
        <f>+U21-V21</f>
        <v>#DIV/0!</v>
      </c>
      <c r="X21" s="36" t="s">
        <v>289</v>
      </c>
      <c r="Z21" s="282">
        <f t="shared" si="2"/>
        <v>43631</v>
      </c>
      <c r="AA21" s="318"/>
      <c r="AB21" s="281"/>
      <c r="AC21" s="33" t="s">
        <v>153</v>
      </c>
    </row>
    <row r="22" spans="1:29">
      <c r="A22" s="215"/>
      <c r="H22" s="214" t="s">
        <v>250</v>
      </c>
      <c r="I22" s="188" t="s">
        <v>4</v>
      </c>
      <c r="J22" s="242" t="s">
        <v>111</v>
      </c>
      <c r="K22" s="192"/>
      <c r="L22" s="193">
        <v>0</v>
      </c>
      <c r="M22" s="192"/>
      <c r="N22" s="193">
        <f>+M22*3</f>
        <v>0</v>
      </c>
      <c r="O22" s="192"/>
      <c r="P22" s="193">
        <f t="shared" si="0"/>
        <v>0</v>
      </c>
      <c r="Q22" s="221"/>
      <c r="R22" s="193">
        <f t="shared" si="1"/>
        <v>0</v>
      </c>
      <c r="S22" s="197"/>
      <c r="T22" s="5"/>
      <c r="U22" s="32">
        <f>+U20-U21</f>
        <v>-720</v>
      </c>
      <c r="V22" s="47"/>
      <c r="W22" s="33"/>
      <c r="X22" s="262" t="s">
        <v>59</v>
      </c>
      <c r="Z22" s="282">
        <f t="shared" si="2"/>
        <v>43632</v>
      </c>
      <c r="AA22" s="318"/>
      <c r="AB22" s="281"/>
      <c r="AC22" s="33" t="s">
        <v>154</v>
      </c>
    </row>
    <row r="23" spans="1:29" ht="15.75">
      <c r="A23" s="215"/>
      <c r="H23" s="142"/>
      <c r="I23" s="25" t="s">
        <v>9</v>
      </c>
      <c r="J23" s="81" t="s">
        <v>128</v>
      </c>
      <c r="K23" s="228"/>
      <c r="L23" s="227">
        <v>0</v>
      </c>
      <c r="M23" s="164"/>
      <c r="N23" s="163">
        <v>0</v>
      </c>
      <c r="O23" s="28">
        <v>1</v>
      </c>
      <c r="P23" s="75">
        <f t="shared" si="0"/>
        <v>6</v>
      </c>
      <c r="Q23" s="218"/>
      <c r="R23" s="321">
        <f t="shared" si="1"/>
        <v>6</v>
      </c>
      <c r="S23" s="107"/>
      <c r="T23" s="5"/>
      <c r="U23" s="34">
        <v>150</v>
      </c>
      <c r="V23" s="38">
        <f>+U23-U22</f>
        <v>870</v>
      </c>
      <c r="W23" s="39" t="s">
        <v>63</v>
      </c>
      <c r="X23" s="263">
        <f>150-V23</f>
        <v>-720</v>
      </c>
      <c r="Z23" s="282">
        <f t="shared" si="2"/>
        <v>43633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164"/>
      <c r="N24" s="163">
        <v>0</v>
      </c>
      <c r="O24" s="28"/>
      <c r="P24" s="11">
        <f t="shared" si="0"/>
        <v>0</v>
      </c>
      <c r="Q24" s="218"/>
      <c r="R24" s="240">
        <f t="shared" si="1"/>
        <v>0</v>
      </c>
      <c r="S24" s="241"/>
      <c r="T24" s="5"/>
      <c r="U24" s="10"/>
      <c r="X24" s="37"/>
      <c r="Z24" s="282">
        <f t="shared" si="2"/>
        <v>43634</v>
      </c>
      <c r="AA24" s="318"/>
      <c r="AB24" s="281"/>
      <c r="AC24" s="61"/>
    </row>
    <row r="25" spans="1:29">
      <c r="A25" s="237"/>
      <c r="B25" s="237"/>
      <c r="C25" s="237"/>
      <c r="D25" s="238"/>
      <c r="E25" s="237"/>
      <c r="F25" s="239"/>
      <c r="G25" s="237"/>
      <c r="H25" s="142"/>
      <c r="I25" s="25" t="s">
        <v>51</v>
      </c>
      <c r="J25" s="96" t="s">
        <v>134</v>
      </c>
      <c r="K25" s="29"/>
      <c r="L25" s="27">
        <f>+K25*3</f>
        <v>0</v>
      </c>
      <c r="M25" s="164"/>
      <c r="N25" s="163">
        <f>+M25*3</f>
        <v>0</v>
      </c>
      <c r="O25" s="28"/>
      <c r="P25" s="11">
        <f t="shared" si="0"/>
        <v>0</v>
      </c>
      <c r="Q25" s="218"/>
      <c r="R25" s="240">
        <f t="shared" si="1"/>
        <v>0</v>
      </c>
      <c r="S25" s="241"/>
      <c r="T25" s="5"/>
      <c r="U25" s="258"/>
      <c r="V25" s="259">
        <v>95.06</v>
      </c>
      <c r="W25" s="260">
        <v>636.14</v>
      </c>
      <c r="X25" s="100"/>
      <c r="Y25" s="266"/>
      <c r="Z25" s="282">
        <f t="shared" si="2"/>
        <v>43635</v>
      </c>
      <c r="AA25" s="318"/>
      <c r="AB25" s="281"/>
      <c r="AC25" s="61"/>
    </row>
    <row r="26" spans="1:29">
      <c r="A26" s="215"/>
      <c r="H26" s="83"/>
      <c r="I26" s="126" t="s">
        <v>61</v>
      </c>
      <c r="J26" s="80" t="s">
        <v>137</v>
      </c>
      <c r="K26" s="226"/>
      <c r="L26" s="227">
        <f>3*K26</f>
        <v>0</v>
      </c>
      <c r="M26" s="162"/>
      <c r="N26" s="163">
        <f>3*M26</f>
        <v>0</v>
      </c>
      <c r="O26" s="72"/>
      <c r="P26" s="75">
        <f t="shared" si="0"/>
        <v>0</v>
      </c>
      <c r="Q26" s="217"/>
      <c r="R26" s="11">
        <f t="shared" si="1"/>
        <v>0</v>
      </c>
      <c r="S26" s="106"/>
      <c r="T26" s="5"/>
      <c r="U26" s="261">
        <v>720</v>
      </c>
      <c r="V26" s="256" t="e">
        <f>+V25*U26/U25</f>
        <v>#DIV/0!</v>
      </c>
      <c r="W26" s="257" t="e">
        <f>+U26-V26</f>
        <v>#DIV/0!</v>
      </c>
      <c r="X26" s="36" t="s">
        <v>289</v>
      </c>
      <c r="Z26" s="282">
        <f t="shared" si="2"/>
        <v>43636</v>
      </c>
      <c r="AA26" s="318"/>
      <c r="AB26" s="281"/>
      <c r="AC26" s="65"/>
    </row>
    <row r="27" spans="1:29">
      <c r="A27" s="215"/>
      <c r="H27" s="83"/>
      <c r="I27" s="25" t="s">
        <v>14</v>
      </c>
      <c r="J27" s="96" t="s">
        <v>125</v>
      </c>
      <c r="K27" s="228"/>
      <c r="L27" s="227">
        <f>+K27*3</f>
        <v>0</v>
      </c>
      <c r="M27" s="164"/>
      <c r="N27" s="163">
        <f>3*M27</f>
        <v>0</v>
      </c>
      <c r="O27" s="74">
        <v>33</v>
      </c>
      <c r="P27" s="75">
        <f t="shared" si="0"/>
        <v>150</v>
      </c>
      <c r="Q27" s="218"/>
      <c r="R27" s="320">
        <f t="shared" si="1"/>
        <v>150</v>
      </c>
      <c r="S27" s="107"/>
      <c r="T27" s="5"/>
      <c r="U27" s="32">
        <f>+U25-U26</f>
        <v>-720</v>
      </c>
      <c r="V27" s="47"/>
      <c r="W27" s="33"/>
      <c r="X27" s="262" t="s">
        <v>59</v>
      </c>
      <c r="Z27" s="282">
        <f t="shared" si="2"/>
        <v>43637</v>
      </c>
      <c r="AA27" s="319"/>
      <c r="AB27" s="281"/>
      <c r="AC27" s="66"/>
    </row>
    <row r="28" spans="1:29">
      <c r="A28" s="215"/>
      <c r="H28" s="83"/>
      <c r="I28" s="126" t="s">
        <v>79</v>
      </c>
      <c r="J28" s="82" t="s">
        <v>110</v>
      </c>
      <c r="K28" s="228"/>
      <c r="L28" s="227">
        <v>0</v>
      </c>
      <c r="M28" s="164"/>
      <c r="N28" s="163">
        <v>0</v>
      </c>
      <c r="O28" s="76">
        <v>38</v>
      </c>
      <c r="P28" s="75">
        <f t="shared" si="0"/>
        <v>150</v>
      </c>
      <c r="Q28" s="217"/>
      <c r="R28" s="11">
        <f t="shared" si="1"/>
        <v>150</v>
      </c>
      <c r="S28" s="106"/>
      <c r="T28" s="5"/>
      <c r="U28" s="34">
        <v>150</v>
      </c>
      <c r="V28" s="38">
        <f>+U28-U27</f>
        <v>870</v>
      </c>
      <c r="W28" s="39" t="s">
        <v>63</v>
      </c>
      <c r="X28" s="263">
        <f>150-V28</f>
        <v>-720</v>
      </c>
      <c r="Z28" s="314" t="s">
        <v>150</v>
      </c>
      <c r="AA28" s="315">
        <f>SUM(AA17:AA27)</f>
        <v>3</v>
      </c>
      <c r="AB28" s="316" t="s">
        <v>148</v>
      </c>
      <c r="AC28" s="68"/>
    </row>
    <row r="29" spans="1:29">
      <c r="H29" s="83"/>
      <c r="I29" s="269" t="s">
        <v>214</v>
      </c>
      <c r="J29" s="270" t="s">
        <v>215</v>
      </c>
      <c r="K29" s="271"/>
      <c r="L29" s="272">
        <v>0</v>
      </c>
      <c r="M29" s="271"/>
      <c r="N29" s="272">
        <f>3*M29</f>
        <v>0</v>
      </c>
      <c r="O29" s="271">
        <v>1</v>
      </c>
      <c r="P29" s="272">
        <f t="shared" si="0"/>
        <v>6</v>
      </c>
      <c r="Q29" s="273"/>
      <c r="R29" s="272">
        <f t="shared" si="1"/>
        <v>6</v>
      </c>
      <c r="S29" s="274"/>
      <c r="T29" s="5"/>
      <c r="U29" s="10"/>
      <c r="X29" s="37"/>
      <c r="Z29" s="184"/>
      <c r="AA29" s="171">
        <f>SUM(AB17:AB27)</f>
        <v>11</v>
      </c>
      <c r="AB29" s="185" t="s">
        <v>149</v>
      </c>
      <c r="AC29" s="69"/>
    </row>
    <row r="30" spans="1:29" ht="16.5">
      <c r="A30" s="237"/>
      <c r="B30" s="237"/>
      <c r="C30" s="237"/>
      <c r="D30" s="238"/>
      <c r="E30" s="237"/>
      <c r="F30" s="239"/>
      <c r="G30" s="237"/>
      <c r="H30" s="142"/>
      <c r="I30" s="25" t="s">
        <v>45</v>
      </c>
      <c r="J30" s="96" t="s">
        <v>133</v>
      </c>
      <c r="K30" s="29"/>
      <c r="L30" s="27">
        <f>+K30*3</f>
        <v>0</v>
      </c>
      <c r="M30" s="164"/>
      <c r="N30" s="163">
        <f>+M30*3</f>
        <v>0</v>
      </c>
      <c r="O30" s="28">
        <v>34</v>
      </c>
      <c r="P30" s="11">
        <f t="shared" si="0"/>
        <v>150</v>
      </c>
      <c r="Q30" s="218"/>
      <c r="R30" s="240">
        <f t="shared" si="1"/>
        <v>150</v>
      </c>
      <c r="S30" s="241"/>
      <c r="T30" s="5"/>
      <c r="U30" s="258"/>
      <c r="V30" s="259">
        <v>87.41</v>
      </c>
      <c r="W30" s="260">
        <v>657.79</v>
      </c>
      <c r="X30" s="100"/>
      <c r="Y30" s="266"/>
      <c r="Z30" s="186" t="s">
        <v>160</v>
      </c>
      <c r="AA30" s="284">
        <f>+AA29/AA28</f>
        <v>3.6666666666666665</v>
      </c>
      <c r="AB30" s="173" t="s">
        <v>150</v>
      </c>
      <c r="AC30" s="65"/>
    </row>
    <row r="31" spans="1:29">
      <c r="A31" s="215"/>
      <c r="H31" s="142"/>
      <c r="I31" s="25" t="s">
        <v>13</v>
      </c>
      <c r="J31" s="81" t="s">
        <v>121</v>
      </c>
      <c r="K31" s="228"/>
      <c r="L31" s="227">
        <f>3*K31</f>
        <v>0</v>
      </c>
      <c r="M31" s="164"/>
      <c r="N31" s="163">
        <v>0</v>
      </c>
      <c r="O31" s="28">
        <v>44</v>
      </c>
      <c r="P31" s="75">
        <f t="shared" si="0"/>
        <v>150</v>
      </c>
      <c r="Q31" s="218"/>
      <c r="R31" s="57">
        <f t="shared" si="1"/>
        <v>150</v>
      </c>
      <c r="S31" s="107"/>
      <c r="T31" s="5"/>
      <c r="U31" s="261">
        <v>720</v>
      </c>
      <c r="V31" s="256" t="e">
        <f>+V30*U31/U30</f>
        <v>#DIV/0!</v>
      </c>
      <c r="W31" s="257" t="e">
        <f>+U31-V31</f>
        <v>#DIV/0!</v>
      </c>
      <c r="X31" s="36" t="s">
        <v>289</v>
      </c>
    </row>
    <row r="32" spans="1:29">
      <c r="A32" s="215"/>
      <c r="H32" s="95"/>
      <c r="I32" s="25" t="s">
        <v>31</v>
      </c>
      <c r="J32" s="81" t="s">
        <v>127</v>
      </c>
      <c r="K32" s="228"/>
      <c r="L32" s="227">
        <v>0</v>
      </c>
      <c r="M32" s="164"/>
      <c r="N32" s="163">
        <v>0</v>
      </c>
      <c r="O32" s="28">
        <v>35</v>
      </c>
      <c r="P32" s="75">
        <f t="shared" si="0"/>
        <v>150</v>
      </c>
      <c r="Q32" s="218"/>
      <c r="R32" s="11">
        <f t="shared" si="1"/>
        <v>150</v>
      </c>
      <c r="S32" s="107"/>
      <c r="T32" s="5"/>
      <c r="U32" s="32">
        <f>+U30-U31</f>
        <v>-720</v>
      </c>
      <c r="V32" s="47"/>
      <c r="W32" s="33"/>
      <c r="X32" s="262" t="s">
        <v>59</v>
      </c>
    </row>
    <row r="33" spans="1:32">
      <c r="A33" s="215"/>
      <c r="H33" s="95"/>
      <c r="I33" s="25" t="s">
        <v>30</v>
      </c>
      <c r="J33" s="81" t="s">
        <v>126</v>
      </c>
      <c r="K33" s="228"/>
      <c r="L33" s="227">
        <f>+K33*3</f>
        <v>0</v>
      </c>
      <c r="M33" s="164"/>
      <c r="N33" s="163">
        <f>+M33*3</f>
        <v>0</v>
      </c>
      <c r="O33" s="28">
        <v>43</v>
      </c>
      <c r="P33" s="75">
        <f t="shared" si="0"/>
        <v>150</v>
      </c>
      <c r="Q33" s="218"/>
      <c r="R33" s="320">
        <f t="shared" si="1"/>
        <v>150</v>
      </c>
      <c r="S33" s="107"/>
      <c r="T33" s="5"/>
      <c r="U33" s="34">
        <v>150</v>
      </c>
      <c r="V33" s="38">
        <f>+U33-U32</f>
        <v>870</v>
      </c>
      <c r="W33" s="39" t="s">
        <v>63</v>
      </c>
      <c r="X33" s="263">
        <f>150-V33</f>
        <v>-720</v>
      </c>
    </row>
    <row r="34" spans="1:32" s="4" customFormat="1">
      <c r="A34" s="215"/>
      <c r="B34"/>
      <c r="C34"/>
      <c r="D34" s="1"/>
      <c r="E34"/>
      <c r="F34" s="2"/>
      <c r="G34"/>
      <c r="H34" s="83"/>
      <c r="I34" s="269" t="s">
        <v>186</v>
      </c>
      <c r="J34" s="270" t="s">
        <v>187</v>
      </c>
      <c r="K34" s="271"/>
      <c r="L34" s="272">
        <v>0</v>
      </c>
      <c r="M34" s="271"/>
      <c r="N34" s="272">
        <v>0</v>
      </c>
      <c r="O34" s="271">
        <v>39</v>
      </c>
      <c r="P34" s="272">
        <f t="shared" si="0"/>
        <v>150</v>
      </c>
      <c r="Q34" s="273"/>
      <c r="R34" s="272">
        <f t="shared" si="1"/>
        <v>150</v>
      </c>
      <c r="S34" s="274"/>
      <c r="T34" s="5"/>
      <c r="U34" s="58"/>
      <c r="V34" s="59"/>
      <c r="W34" s="60"/>
      <c r="X34" s="61"/>
      <c r="Y34"/>
      <c r="Z34"/>
      <c r="AA34"/>
      <c r="AB34"/>
      <c r="AC34"/>
      <c r="AD34"/>
      <c r="AE34"/>
      <c r="AF34"/>
    </row>
    <row r="35" spans="1:32">
      <c r="A35" s="215"/>
      <c r="H35" s="83"/>
      <c r="I35" s="25" t="s">
        <v>17</v>
      </c>
      <c r="J35" s="81" t="s">
        <v>123</v>
      </c>
      <c r="K35" s="228"/>
      <c r="L35" s="227">
        <f>+K35*3</f>
        <v>0</v>
      </c>
      <c r="M35" s="164"/>
      <c r="N35" s="163">
        <v>0</v>
      </c>
      <c r="O35" s="74">
        <v>1</v>
      </c>
      <c r="P35" s="75">
        <f t="shared" si="0"/>
        <v>6</v>
      </c>
      <c r="Q35" s="218"/>
      <c r="R35" s="11">
        <f t="shared" si="1"/>
        <v>6</v>
      </c>
      <c r="S35" s="107"/>
      <c r="T35" s="5"/>
      <c r="U35" s="287" t="s">
        <v>288</v>
      </c>
    </row>
    <row r="36" spans="1:32">
      <c r="A36" s="215"/>
      <c r="H36" s="83"/>
      <c r="I36" s="25" t="s">
        <v>60</v>
      </c>
      <c r="J36" s="81" t="s">
        <v>132</v>
      </c>
      <c r="K36" s="228"/>
      <c r="L36" s="227">
        <v>0</v>
      </c>
      <c r="M36" s="164"/>
      <c r="N36" s="163">
        <v>0</v>
      </c>
      <c r="O36" s="74"/>
      <c r="P36" s="75">
        <f>IF(O36&gt;25,150,(O36)*6)</f>
        <v>0</v>
      </c>
      <c r="Q36" s="218"/>
      <c r="R36" s="11">
        <f>+L36+N36+P36+Q36</f>
        <v>0</v>
      </c>
      <c r="S36" s="107"/>
      <c r="T36" s="5"/>
    </row>
    <row r="37" spans="1:32">
      <c r="H37" s="142"/>
      <c r="I37" s="25" t="s">
        <v>233</v>
      </c>
      <c r="J37" s="81" t="s">
        <v>234</v>
      </c>
      <c r="K37" s="228"/>
      <c r="L37" s="227">
        <v>0</v>
      </c>
      <c r="M37" s="164"/>
      <c r="N37" s="163">
        <v>0</v>
      </c>
      <c r="O37" s="28"/>
      <c r="P37" s="75">
        <f t="shared" si="0"/>
        <v>0</v>
      </c>
      <c r="Q37" s="218"/>
      <c r="R37" s="57">
        <f t="shared" si="1"/>
        <v>0</v>
      </c>
      <c r="S37" s="107"/>
      <c r="T37" s="5"/>
    </row>
    <row r="38" spans="1:32">
      <c r="A38" s="215"/>
      <c r="H38" s="142"/>
      <c r="I38" s="25" t="s">
        <v>8</v>
      </c>
      <c r="J38" s="81" t="s">
        <v>120</v>
      </c>
      <c r="K38" s="228"/>
      <c r="L38" s="227">
        <v>0</v>
      </c>
      <c r="M38" s="164"/>
      <c r="N38" s="163">
        <v>0</v>
      </c>
      <c r="O38" s="28">
        <v>31</v>
      </c>
      <c r="P38" s="75">
        <f t="shared" si="0"/>
        <v>150</v>
      </c>
      <c r="Q38" s="218"/>
      <c r="R38" s="57">
        <f t="shared" si="1"/>
        <v>150</v>
      </c>
      <c r="S38" s="107"/>
      <c r="T38" s="5"/>
      <c r="AF38" s="4"/>
    </row>
    <row r="39" spans="1:32">
      <c r="A39" s="215"/>
      <c r="H39" s="83"/>
      <c r="I39" s="25" t="s">
        <v>11</v>
      </c>
      <c r="J39" s="96" t="s">
        <v>130</v>
      </c>
      <c r="K39" s="228"/>
      <c r="L39" s="227">
        <f>+K39*3</f>
        <v>0</v>
      </c>
      <c r="M39" s="164"/>
      <c r="N39" s="163">
        <f>+M39*3</f>
        <v>0</v>
      </c>
      <c r="O39" s="74">
        <v>38</v>
      </c>
      <c r="P39" s="75">
        <f t="shared" si="0"/>
        <v>150</v>
      </c>
      <c r="Q39" s="220"/>
      <c r="R39" s="11">
        <f t="shared" si="1"/>
        <v>150</v>
      </c>
      <c r="S39" s="107"/>
      <c r="T39" s="5"/>
    </row>
    <row r="40" spans="1:32">
      <c r="H40" s="83"/>
      <c r="I40" s="25" t="s">
        <v>44</v>
      </c>
      <c r="J40" s="96" t="s">
        <v>124</v>
      </c>
      <c r="K40" s="228"/>
      <c r="L40" s="227">
        <f>+K40*3</f>
        <v>0</v>
      </c>
      <c r="M40" s="164"/>
      <c r="N40" s="163">
        <f>+M40*3</f>
        <v>0</v>
      </c>
      <c r="O40" s="113"/>
      <c r="P40" s="75">
        <f t="shared" si="0"/>
        <v>0</v>
      </c>
      <c r="Q40" s="218"/>
      <c r="R40" s="11">
        <f t="shared" si="1"/>
        <v>0</v>
      </c>
      <c r="S40" s="107"/>
      <c r="T40" s="5"/>
    </row>
    <row r="41" spans="1:32">
      <c r="H41" s="83"/>
      <c r="I41" s="25" t="s">
        <v>6</v>
      </c>
      <c r="J41" s="96" t="s">
        <v>116</v>
      </c>
      <c r="K41" s="228"/>
      <c r="L41" s="227">
        <f>+K41*3</f>
        <v>0</v>
      </c>
      <c r="M41" s="164"/>
      <c r="N41" s="163">
        <f>+M41*3</f>
        <v>0</v>
      </c>
      <c r="O41" s="74"/>
      <c r="P41" s="75">
        <f t="shared" si="0"/>
        <v>0</v>
      </c>
      <c r="Q41" s="220"/>
      <c r="R41" s="11">
        <f t="shared" si="1"/>
        <v>0</v>
      </c>
      <c r="S41" s="107"/>
      <c r="T41" s="5"/>
    </row>
    <row r="42" spans="1:32">
      <c r="H42" s="95"/>
      <c r="I42" s="25" t="s">
        <v>53</v>
      </c>
      <c r="J42" s="81" t="s">
        <v>135</v>
      </c>
      <c r="K42" s="228"/>
      <c r="L42" s="227">
        <v>0</v>
      </c>
      <c r="M42" s="164"/>
      <c r="N42" s="163">
        <v>0</v>
      </c>
      <c r="O42" s="28">
        <v>30</v>
      </c>
      <c r="P42" s="75">
        <f t="shared" si="0"/>
        <v>150</v>
      </c>
      <c r="Q42" s="218"/>
      <c r="R42" s="11">
        <f t="shared" si="1"/>
        <v>150</v>
      </c>
      <c r="S42" s="107"/>
      <c r="T42" s="5"/>
    </row>
    <row r="43" spans="1:32">
      <c r="H43" s="81"/>
      <c r="I43" s="120" t="s">
        <v>12</v>
      </c>
      <c r="J43" s="150" t="s">
        <v>114</v>
      </c>
      <c r="K43" s="232"/>
      <c r="L43" s="233">
        <v>0</v>
      </c>
      <c r="M43" s="165"/>
      <c r="N43" s="166">
        <f>2.85*M43</f>
        <v>0</v>
      </c>
      <c r="O43" s="122">
        <v>37</v>
      </c>
      <c r="P43" s="147">
        <f t="shared" si="0"/>
        <v>150</v>
      </c>
      <c r="Q43" s="222"/>
      <c r="R43" s="322">
        <f t="shared" si="1"/>
        <v>150</v>
      </c>
      <c r="S43" s="148"/>
      <c r="T43" s="5"/>
    </row>
    <row r="44" spans="1:32">
      <c r="I44" s="13"/>
      <c r="J44" s="14"/>
      <c r="K44" s="234">
        <f t="shared" ref="K44:S44" si="3">SUM(K5:K43)</f>
        <v>0</v>
      </c>
      <c r="L44" s="235">
        <f t="shared" si="3"/>
        <v>0</v>
      </c>
      <c r="M44" s="167">
        <f t="shared" si="3"/>
        <v>0</v>
      </c>
      <c r="N44" s="168">
        <f t="shared" si="3"/>
        <v>0</v>
      </c>
      <c r="O44" s="77">
        <f t="shared" si="3"/>
        <v>731</v>
      </c>
      <c r="P44" s="78">
        <f t="shared" si="3"/>
        <v>3036</v>
      </c>
      <c r="Q44" s="223">
        <f t="shared" si="3"/>
        <v>0</v>
      </c>
      <c r="R44" s="78">
        <f t="shared" si="3"/>
        <v>3036</v>
      </c>
      <c r="S44" s="102">
        <f t="shared" si="3"/>
        <v>0</v>
      </c>
      <c r="T44" s="5"/>
    </row>
    <row r="45" spans="1:32">
      <c r="J45" s="200">
        <f ca="1">TODAY()</f>
        <v>43825</v>
      </c>
      <c r="K45" s="41"/>
      <c r="M45" s="42"/>
      <c r="N45" s="41"/>
      <c r="O45" s="45" t="s">
        <v>81</v>
      </c>
      <c r="Q45" s="42"/>
      <c r="R45" s="45">
        <f>+R14+R15+R21+R22</f>
        <v>156</v>
      </c>
      <c r="T45" s="5"/>
    </row>
    <row r="46" spans="1:32">
      <c r="L46" s="43"/>
      <c r="M46" s="44"/>
      <c r="N46" s="125"/>
      <c r="O46" s="43" t="s">
        <v>91</v>
      </c>
      <c r="P46" s="114"/>
      <c r="Q46" s="110" t="s">
        <v>58</v>
      </c>
      <c r="R46" s="111">
        <f>+R44-R45</f>
        <v>2880</v>
      </c>
      <c r="S46" s="109"/>
      <c r="T46" s="5"/>
      <c r="AC46">
        <v>4</v>
      </c>
    </row>
    <row r="47" spans="1:32" ht="3.95" customHeight="1">
      <c r="P47" s="1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I48" s="254" t="s">
        <v>308</v>
      </c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255" t="s">
        <v>309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254" t="s">
        <v>310</v>
      </c>
      <c r="P50" s="19"/>
      <c r="T50" s="5"/>
    </row>
    <row r="51" spans="9:29">
      <c r="I51" s="254" t="s">
        <v>311</v>
      </c>
      <c r="P51" s="19"/>
      <c r="T51" s="5"/>
    </row>
    <row r="52" spans="9:29">
      <c r="I52" s="254" t="s">
        <v>312</v>
      </c>
      <c r="P52" s="19"/>
      <c r="T52" s="5"/>
      <c r="V52" s="59"/>
      <c r="W52" s="60"/>
      <c r="X52" s="61"/>
    </row>
    <row r="53" spans="9:29">
      <c r="U53" s="58"/>
      <c r="V53" s="59"/>
      <c r="W53" s="60"/>
      <c r="X53" s="61"/>
    </row>
    <row r="54" spans="9:29">
      <c r="U54" s="58"/>
      <c r="V54" s="59"/>
      <c r="W54" s="62"/>
      <c r="X54" s="65"/>
    </row>
    <row r="55" spans="9:29">
      <c r="U55" s="58"/>
      <c r="V55" s="59"/>
      <c r="W55" s="67"/>
      <c r="X55" s="60"/>
    </row>
    <row r="56" spans="9:29">
      <c r="U56" s="58"/>
      <c r="V56" s="59"/>
      <c r="W56" s="60"/>
      <c r="X56" s="60"/>
    </row>
    <row r="57" spans="9:29">
      <c r="U57" s="58"/>
      <c r="V57" s="59"/>
      <c r="W57" s="60"/>
      <c r="X57" s="68"/>
    </row>
    <row r="58" spans="9:29">
      <c r="U58" s="58"/>
      <c r="V58" s="59"/>
      <c r="W58" s="60"/>
      <c r="X58" s="69"/>
    </row>
    <row r="59" spans="9:29">
      <c r="U59" s="58"/>
      <c r="V59" s="59"/>
      <c r="W59" s="60"/>
      <c r="X59" s="60"/>
    </row>
    <row r="60" spans="9:29">
      <c r="U60" s="58"/>
      <c r="V60" s="59"/>
      <c r="W60" s="60"/>
      <c r="X60" s="60"/>
    </row>
    <row r="61" spans="9:29">
      <c r="U61" s="58"/>
      <c r="V61" s="59"/>
      <c r="W61" s="62"/>
      <c r="X61" s="60"/>
    </row>
    <row r="62" spans="9:29">
      <c r="U62" s="58"/>
      <c r="V62" s="59"/>
      <c r="W62" s="62"/>
      <c r="X62" s="60"/>
    </row>
    <row r="63" spans="9:29">
      <c r="U63" s="64"/>
      <c r="V63" s="59"/>
      <c r="W63" s="60"/>
      <c r="X63" s="60"/>
    </row>
    <row r="64" spans="9:29">
      <c r="U64" s="58"/>
      <c r="V64" s="66"/>
      <c r="W64" s="67"/>
      <c r="X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  <row r="68" spans="21:23">
      <c r="U68" s="60"/>
      <c r="V68" s="59"/>
      <c r="W68" s="60"/>
    </row>
    <row r="69" spans="21:23">
      <c r="U69" s="60"/>
      <c r="V69" s="59"/>
      <c r="W69" s="60"/>
    </row>
    <row r="70" spans="21:23">
      <c r="U70" s="60"/>
      <c r="V70" s="59"/>
      <c r="W70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64" priority="2" operator="lessThanOrEqual">
      <formula>0</formula>
    </cfRule>
  </conditionalFormatting>
  <conditionalFormatting sqref="R5:R43">
    <cfRule type="cellIs" dxfId="63" priority="1" operator="greaterThan">
      <formula>0</formula>
    </cfRule>
  </conditionalFormatting>
  <printOptions horizontalCentered="1"/>
  <pageMargins left="0" right="0" top="0.6692913385826772" bottom="0" header="0" footer="0"/>
  <pageSetup paperSize="9" scale="10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F70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K5" sqref="K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" customWidth="1"/>
    <col min="9" max="9" width="7.42578125" customWidth="1"/>
    <col min="10" max="10" width="21.5703125" customWidth="1"/>
    <col min="11" max="11" width="1.7109375" customWidth="1"/>
    <col min="12" max="12" width="1.5703125" customWidth="1"/>
    <col min="13" max="13" width="5.28515625" customWidth="1"/>
    <col min="14" max="14" width="6.7109375" customWidth="1"/>
    <col min="15" max="15" width="6.140625" customWidth="1"/>
    <col min="16" max="16" width="11.42578125" customWidth="1"/>
    <col min="17" max="17" width="5.5703125" customWidth="1"/>
    <col min="18" max="18" width="17.28515625" customWidth="1"/>
    <col min="19" max="19" width="2.710937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>
      <c r="H2" s="83"/>
      <c r="I2" s="429" t="s">
        <v>297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v>43613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285" t="s">
        <v>298</v>
      </c>
      <c r="O4" s="87" t="s">
        <v>15</v>
      </c>
      <c r="P4" s="87" t="s">
        <v>299</v>
      </c>
      <c r="Q4" s="99" t="s">
        <v>300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v>0</v>
      </c>
      <c r="O5" s="76">
        <v>36</v>
      </c>
      <c r="P5" s="75">
        <f t="shared" ref="P5:P43" si="0">IF(O5&gt;25,150,(O5)*6)</f>
        <v>150</v>
      </c>
      <c r="Q5" s="217"/>
      <c r="R5" s="11">
        <f t="shared" ref="R5:R43" si="1">+L5+N5+P5+Q5</f>
        <v>150</v>
      </c>
      <c r="S5" s="106"/>
      <c r="T5" s="5"/>
      <c r="U5" s="258"/>
      <c r="V5" s="259">
        <v>98.7</v>
      </c>
      <c r="W5" s="260">
        <v>660.5</v>
      </c>
      <c r="X5" s="242"/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261">
        <v>720</v>
      </c>
      <c r="V6" s="256" t="e">
        <f>+V5*U6/U5</f>
        <v>#DIV/0!</v>
      </c>
      <c r="W6" s="257" t="e">
        <f>+U6-V6</f>
        <v>#DIV/0!</v>
      </c>
      <c r="X6" s="36" t="s">
        <v>289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164"/>
      <c r="N7" s="163">
        <v>0</v>
      </c>
      <c r="O7" s="74">
        <v>35</v>
      </c>
      <c r="P7" s="75">
        <f t="shared" si="0"/>
        <v>150</v>
      </c>
      <c r="Q7" s="218"/>
      <c r="R7" s="320">
        <f t="shared" si="1"/>
        <v>150</v>
      </c>
      <c r="S7" s="106"/>
      <c r="T7" s="5"/>
      <c r="U7" s="32">
        <f>+U5-U6</f>
        <v>-720</v>
      </c>
      <c r="V7" s="47"/>
      <c r="W7" s="33"/>
      <c r="X7" s="262" t="s">
        <v>59</v>
      </c>
    </row>
    <row r="8" spans="8:29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>
        <v>41</v>
      </c>
      <c r="P8" s="75">
        <f t="shared" si="0"/>
        <v>150</v>
      </c>
      <c r="Q8" s="218"/>
      <c r="R8" s="320">
        <f t="shared" si="1"/>
        <v>150</v>
      </c>
      <c r="S8" s="138"/>
      <c r="T8" s="5"/>
      <c r="U8" s="34">
        <v>150</v>
      </c>
      <c r="V8" s="38">
        <f>+U8-U7</f>
        <v>870</v>
      </c>
      <c r="W8" s="39" t="s">
        <v>63</v>
      </c>
      <c r="X8" s="263">
        <f>150-V8</f>
        <v>-720</v>
      </c>
    </row>
    <row r="9" spans="8:29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/>
      <c r="P9" s="75">
        <f t="shared" si="0"/>
        <v>0</v>
      </c>
      <c r="Q9" s="218"/>
      <c r="R9" s="11">
        <f t="shared" si="1"/>
        <v>0</v>
      </c>
      <c r="S9" s="107"/>
      <c r="T9" s="5"/>
      <c r="U9" s="10"/>
      <c r="X9" s="37"/>
    </row>
    <row r="10" spans="8:29" ht="15" customHeight="1">
      <c r="H10" s="95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28"/>
      <c r="P10" s="75">
        <f t="shared" si="0"/>
        <v>0</v>
      </c>
      <c r="Q10" s="218"/>
      <c r="R10" s="11">
        <f t="shared" si="1"/>
        <v>0</v>
      </c>
      <c r="S10" s="197"/>
      <c r="T10" s="5"/>
      <c r="U10" s="258"/>
      <c r="V10" s="259">
        <v>101.95</v>
      </c>
      <c r="W10" s="260">
        <v>685.25</v>
      </c>
      <c r="X10" s="286"/>
      <c r="Y10" s="266"/>
    </row>
    <row r="11" spans="8:29">
      <c r="H11" s="141"/>
      <c r="I11" s="126" t="s">
        <v>56</v>
      </c>
      <c r="J11" s="80" t="s">
        <v>136</v>
      </c>
      <c r="K11" s="226"/>
      <c r="L11" s="227">
        <v>0</v>
      </c>
      <c r="M11" s="162"/>
      <c r="N11" s="163">
        <f>2.7*M11</f>
        <v>0</v>
      </c>
      <c r="O11" s="74"/>
      <c r="P11" s="75">
        <f t="shared" si="0"/>
        <v>0</v>
      </c>
      <c r="Q11" s="217"/>
      <c r="R11" s="9">
        <f t="shared" si="1"/>
        <v>0</v>
      </c>
      <c r="S11" s="107"/>
      <c r="T11" s="5"/>
      <c r="U11" s="261">
        <v>720</v>
      </c>
      <c r="V11" s="256" t="e">
        <f>+V10*U11/U10</f>
        <v>#DIV/0!</v>
      </c>
      <c r="W11" s="257" t="e">
        <f>+U11-V11</f>
        <v>#DIV/0!</v>
      </c>
      <c r="X11" s="36" t="s">
        <v>289</v>
      </c>
    </row>
    <row r="12" spans="8:29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>
        <v>24</v>
      </c>
      <c r="P12" s="75">
        <f t="shared" si="0"/>
        <v>144</v>
      </c>
      <c r="Q12" s="218"/>
      <c r="R12" s="9">
        <f t="shared" si="1"/>
        <v>144</v>
      </c>
      <c r="S12" s="106"/>
      <c r="T12" s="5"/>
      <c r="U12" s="32">
        <f>+U10-U11</f>
        <v>-720</v>
      </c>
      <c r="V12" s="47"/>
      <c r="W12" s="33"/>
      <c r="X12" s="262" t="s">
        <v>59</v>
      </c>
    </row>
    <row r="13" spans="8:29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870</v>
      </c>
      <c r="W13" s="39" t="s">
        <v>63</v>
      </c>
      <c r="X13" s="263">
        <f>150-V13</f>
        <v>-720</v>
      </c>
    </row>
    <row r="14" spans="8:29">
      <c r="H14" s="214" t="s">
        <v>232</v>
      </c>
      <c r="I14" s="188" t="s">
        <v>20</v>
      </c>
      <c r="J14" s="242" t="s">
        <v>195</v>
      </c>
      <c r="K14" s="192"/>
      <c r="L14" s="193">
        <f>+K14*3</f>
        <v>0</v>
      </c>
      <c r="M14" s="192"/>
      <c r="N14" s="193">
        <f>+M14*3</f>
        <v>0</v>
      </c>
      <c r="O14" s="192">
        <v>34</v>
      </c>
      <c r="P14" s="193">
        <f t="shared" si="0"/>
        <v>150</v>
      </c>
      <c r="Q14" s="221"/>
      <c r="R14" s="193">
        <f t="shared" si="1"/>
        <v>150</v>
      </c>
      <c r="S14" s="197"/>
      <c r="T14" s="5"/>
      <c r="U14" s="10"/>
      <c r="X14" s="37"/>
    </row>
    <row r="15" spans="8:29">
      <c r="H15" s="251" t="s">
        <v>50</v>
      </c>
      <c r="I15" s="275" t="s">
        <v>272</v>
      </c>
      <c r="J15" s="276" t="s">
        <v>271</v>
      </c>
      <c r="K15" s="277"/>
      <c r="L15" s="278">
        <v>0</v>
      </c>
      <c r="M15" s="277"/>
      <c r="N15" s="278">
        <v>0</v>
      </c>
      <c r="O15" s="277"/>
      <c r="P15" s="278">
        <f t="shared" si="0"/>
        <v>0</v>
      </c>
      <c r="Q15" s="279"/>
      <c r="R15" s="278">
        <f t="shared" si="1"/>
        <v>0</v>
      </c>
      <c r="S15" s="280"/>
      <c r="T15" s="5"/>
      <c r="U15" s="258"/>
      <c r="V15" s="259">
        <v>96.5</v>
      </c>
      <c r="W15" s="260">
        <v>648.70000000000005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95"/>
      <c r="I16" s="25" t="s">
        <v>25</v>
      </c>
      <c r="J16" s="81" t="s">
        <v>118</v>
      </c>
      <c r="K16" s="228"/>
      <c r="L16" s="227">
        <f>+K16*3</f>
        <v>0</v>
      </c>
      <c r="M16" s="164"/>
      <c r="N16" s="163">
        <f>+M16*3</f>
        <v>0</v>
      </c>
      <c r="O16" s="28">
        <v>24</v>
      </c>
      <c r="P16" s="75">
        <f t="shared" si="0"/>
        <v>144</v>
      </c>
      <c r="Q16" s="218"/>
      <c r="R16" s="11">
        <f t="shared" si="1"/>
        <v>144</v>
      </c>
      <c r="S16" s="107"/>
      <c r="T16" s="5"/>
      <c r="U16" s="261">
        <v>720</v>
      </c>
      <c r="V16" s="256" t="e">
        <f>+V15*U16/U15</f>
        <v>#DIV/0!</v>
      </c>
      <c r="W16" s="257" t="e">
        <f>+U16-V16</f>
        <v>#DIV/0!</v>
      </c>
      <c r="X16" s="36" t="s">
        <v>289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164"/>
      <c r="N17" s="163">
        <f>+M17*3</f>
        <v>0</v>
      </c>
      <c r="O17" s="28"/>
      <c r="P17" s="75">
        <f t="shared" si="0"/>
        <v>0</v>
      </c>
      <c r="Q17" s="218"/>
      <c r="R17" s="11">
        <f t="shared" si="1"/>
        <v>0</v>
      </c>
      <c r="S17" s="107"/>
      <c r="T17" s="5"/>
      <c r="U17" s="32">
        <f>+U15-U16</f>
        <v>-720</v>
      </c>
      <c r="V17" s="47"/>
      <c r="W17" s="33"/>
      <c r="X17" s="262" t="s">
        <v>59</v>
      </c>
      <c r="Z17" s="282">
        <v>43627</v>
      </c>
      <c r="AA17" s="317">
        <v>0.5</v>
      </c>
      <c r="AB17" s="281">
        <v>2</v>
      </c>
      <c r="AC17" s="174" t="s">
        <v>157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162"/>
      <c r="N18" s="163">
        <f>5*M18</f>
        <v>0</v>
      </c>
      <c r="O18" s="76">
        <v>24</v>
      </c>
      <c r="P18" s="75">
        <f t="shared" si="0"/>
        <v>144</v>
      </c>
      <c r="Q18" s="217"/>
      <c r="R18" s="11">
        <f t="shared" si="1"/>
        <v>144</v>
      </c>
      <c r="S18" s="106"/>
      <c r="T18" s="5"/>
      <c r="U18" s="34">
        <v>150</v>
      </c>
      <c r="V18" s="38">
        <f>+U18-U17</f>
        <v>870</v>
      </c>
      <c r="W18" s="39" t="s">
        <v>63</v>
      </c>
      <c r="X18" s="263">
        <f>150-V18</f>
        <v>-720</v>
      </c>
      <c r="Z18" s="282">
        <f>1+Z17</f>
        <v>43628</v>
      </c>
      <c r="AA18" s="318">
        <v>1</v>
      </c>
      <c r="AB18" s="281">
        <v>4</v>
      </c>
      <c r="AC18" s="33" t="s">
        <v>156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164"/>
      <c r="N19" s="163">
        <f>+M19*3</f>
        <v>0</v>
      </c>
      <c r="O19" s="74">
        <v>30</v>
      </c>
      <c r="P19" s="75">
        <f t="shared" si="0"/>
        <v>150</v>
      </c>
      <c r="Q19" s="217"/>
      <c r="R19" s="9">
        <f t="shared" si="1"/>
        <v>150</v>
      </c>
      <c r="S19" s="107"/>
      <c r="T19" s="5"/>
      <c r="U19" s="10"/>
      <c r="X19" s="37"/>
      <c r="Z19" s="282">
        <f t="shared" ref="Z19:Z27" si="2">1+Z18</f>
        <v>43629</v>
      </c>
      <c r="AA19" s="318">
        <v>1</v>
      </c>
      <c r="AB19" s="281">
        <v>3</v>
      </c>
      <c r="AC19" s="33" t="s">
        <v>151</v>
      </c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164"/>
      <c r="N20" s="163">
        <v>0</v>
      </c>
      <c r="O20" s="74"/>
      <c r="P20" s="75">
        <f t="shared" si="0"/>
        <v>0</v>
      </c>
      <c r="Q20" s="217"/>
      <c r="R20" s="9">
        <f t="shared" si="1"/>
        <v>0</v>
      </c>
      <c r="S20" s="107"/>
      <c r="T20" s="5"/>
      <c r="U20" s="258"/>
      <c r="V20" s="259">
        <v>96.88</v>
      </c>
      <c r="W20" s="260">
        <v>648.32000000000005</v>
      </c>
      <c r="X20" s="100"/>
      <c r="Y20" s="266"/>
      <c r="Z20" s="282">
        <f t="shared" si="2"/>
        <v>43630</v>
      </c>
      <c r="AA20" s="318">
        <v>0.5</v>
      </c>
      <c r="AB20" s="281">
        <v>2</v>
      </c>
      <c r="AC20" s="33" t="s">
        <v>152</v>
      </c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277"/>
      <c r="N21" s="278">
        <v>0</v>
      </c>
      <c r="O21" s="277"/>
      <c r="P21" s="278">
        <f t="shared" si="0"/>
        <v>0</v>
      </c>
      <c r="Q21" s="279"/>
      <c r="R21" s="278">
        <f t="shared" si="1"/>
        <v>0</v>
      </c>
      <c r="S21" s="280"/>
      <c r="T21" s="5"/>
      <c r="U21" s="261">
        <v>720</v>
      </c>
      <c r="V21" s="256" t="e">
        <f>+V20*U21/U20</f>
        <v>#DIV/0!</v>
      </c>
      <c r="W21" s="257" t="e">
        <f>+U21-V21</f>
        <v>#DIV/0!</v>
      </c>
      <c r="X21" s="36" t="s">
        <v>289</v>
      </c>
      <c r="Z21" s="282">
        <f t="shared" si="2"/>
        <v>43631</v>
      </c>
      <c r="AA21" s="318"/>
      <c r="AB21" s="281"/>
      <c r="AC21" s="33" t="s">
        <v>153</v>
      </c>
    </row>
    <row r="22" spans="1:29">
      <c r="A22" s="215"/>
      <c r="H22" s="214" t="s">
        <v>232</v>
      </c>
      <c r="I22" s="188" t="s">
        <v>4</v>
      </c>
      <c r="J22" s="242" t="s">
        <v>111</v>
      </c>
      <c r="K22" s="192"/>
      <c r="L22" s="193">
        <v>0</v>
      </c>
      <c r="M22" s="192"/>
      <c r="N22" s="193">
        <f>+M22*3</f>
        <v>0</v>
      </c>
      <c r="O22" s="192"/>
      <c r="P22" s="193">
        <f t="shared" si="0"/>
        <v>0</v>
      </c>
      <c r="Q22" s="221"/>
      <c r="R22" s="193">
        <f t="shared" si="1"/>
        <v>0</v>
      </c>
      <c r="S22" s="197"/>
      <c r="T22" s="5"/>
      <c r="U22" s="32">
        <f>+U20-U21</f>
        <v>-720</v>
      </c>
      <c r="V22" s="47"/>
      <c r="W22" s="33"/>
      <c r="X22" s="262" t="s">
        <v>59</v>
      </c>
      <c r="Z22" s="282">
        <f t="shared" si="2"/>
        <v>43632</v>
      </c>
      <c r="AA22" s="318"/>
      <c r="AB22" s="281"/>
      <c r="AC22" s="33" t="s">
        <v>154</v>
      </c>
    </row>
    <row r="23" spans="1:29" ht="15.75">
      <c r="A23" s="215"/>
      <c r="H23" s="142"/>
      <c r="I23" s="25" t="s">
        <v>9</v>
      </c>
      <c r="J23" s="81" t="s">
        <v>128</v>
      </c>
      <c r="K23" s="228"/>
      <c r="L23" s="227">
        <v>0</v>
      </c>
      <c r="M23" s="164"/>
      <c r="N23" s="163">
        <v>0</v>
      </c>
      <c r="O23" s="28">
        <v>31</v>
      </c>
      <c r="P23" s="75">
        <f t="shared" si="0"/>
        <v>150</v>
      </c>
      <c r="Q23" s="218"/>
      <c r="R23" s="321">
        <f t="shared" si="1"/>
        <v>150</v>
      </c>
      <c r="S23" s="107"/>
      <c r="T23" s="5"/>
      <c r="U23" s="34">
        <v>150</v>
      </c>
      <c r="V23" s="38">
        <f>+U23-U22</f>
        <v>870</v>
      </c>
      <c r="W23" s="39" t="s">
        <v>63</v>
      </c>
      <c r="X23" s="263">
        <f>150-V23</f>
        <v>-720</v>
      </c>
      <c r="Z23" s="282">
        <f t="shared" si="2"/>
        <v>43633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164"/>
      <c r="N24" s="163">
        <v>0</v>
      </c>
      <c r="O24" s="28"/>
      <c r="P24" s="11">
        <f t="shared" si="0"/>
        <v>0</v>
      </c>
      <c r="Q24" s="218"/>
      <c r="R24" s="240">
        <f t="shared" si="1"/>
        <v>0</v>
      </c>
      <c r="S24" s="241"/>
      <c r="T24" s="5"/>
      <c r="U24" s="10"/>
      <c r="X24" s="37"/>
      <c r="Z24" s="282">
        <f t="shared" si="2"/>
        <v>43634</v>
      </c>
      <c r="AA24" s="318"/>
      <c r="AB24" s="281"/>
      <c r="AC24" s="61"/>
    </row>
    <row r="25" spans="1:29">
      <c r="A25" s="237"/>
      <c r="B25" s="237"/>
      <c r="C25" s="237"/>
      <c r="D25" s="238"/>
      <c r="E25" s="237"/>
      <c r="F25" s="239"/>
      <c r="G25" s="237"/>
      <c r="H25" s="142"/>
      <c r="I25" s="25" t="s">
        <v>51</v>
      </c>
      <c r="J25" s="96" t="s">
        <v>134</v>
      </c>
      <c r="K25" s="29"/>
      <c r="L25" s="27">
        <f>+K25*3</f>
        <v>0</v>
      </c>
      <c r="M25" s="164"/>
      <c r="N25" s="163">
        <f>+M25*3</f>
        <v>0</v>
      </c>
      <c r="O25" s="28">
        <v>36</v>
      </c>
      <c r="P25" s="11">
        <f t="shared" si="0"/>
        <v>150</v>
      </c>
      <c r="Q25" s="218"/>
      <c r="R25" s="240">
        <f t="shared" si="1"/>
        <v>150</v>
      </c>
      <c r="S25" s="241"/>
      <c r="T25" s="5"/>
      <c r="U25" s="258"/>
      <c r="V25" s="259">
        <v>95.06</v>
      </c>
      <c r="W25" s="260">
        <v>636.14</v>
      </c>
      <c r="X25" s="100"/>
      <c r="Y25" s="266"/>
      <c r="Z25" s="282">
        <f t="shared" si="2"/>
        <v>43635</v>
      </c>
      <c r="AA25" s="318"/>
      <c r="AB25" s="281"/>
      <c r="AC25" s="61"/>
    </row>
    <row r="26" spans="1:29">
      <c r="A26" s="215"/>
      <c r="H26" s="83"/>
      <c r="I26" s="126" t="s">
        <v>61</v>
      </c>
      <c r="J26" s="80" t="s">
        <v>137</v>
      </c>
      <c r="K26" s="226"/>
      <c r="L26" s="227">
        <f>3*K26</f>
        <v>0</v>
      </c>
      <c r="M26" s="162"/>
      <c r="N26" s="163">
        <f>3*M26</f>
        <v>0</v>
      </c>
      <c r="O26" s="72"/>
      <c r="P26" s="75">
        <f t="shared" si="0"/>
        <v>0</v>
      </c>
      <c r="Q26" s="217"/>
      <c r="R26" s="11">
        <f t="shared" si="1"/>
        <v>0</v>
      </c>
      <c r="S26" s="106"/>
      <c r="T26" s="5"/>
      <c r="U26" s="261">
        <v>720</v>
      </c>
      <c r="V26" s="256" t="e">
        <f>+V25*U26/U25</f>
        <v>#DIV/0!</v>
      </c>
      <c r="W26" s="257" t="e">
        <f>+U26-V26</f>
        <v>#DIV/0!</v>
      </c>
      <c r="X26" s="36" t="s">
        <v>289</v>
      </c>
      <c r="Z26" s="282">
        <f t="shared" si="2"/>
        <v>43636</v>
      </c>
      <c r="AA26" s="318"/>
      <c r="AB26" s="281"/>
      <c r="AC26" s="65"/>
    </row>
    <row r="27" spans="1:29">
      <c r="A27" s="215"/>
      <c r="H27" s="83"/>
      <c r="I27" s="25" t="s">
        <v>14</v>
      </c>
      <c r="J27" s="96" t="s">
        <v>125</v>
      </c>
      <c r="K27" s="228"/>
      <c r="L27" s="227">
        <f>+K27*3</f>
        <v>0</v>
      </c>
      <c r="M27" s="164"/>
      <c r="N27" s="163">
        <f>3*M27</f>
        <v>0</v>
      </c>
      <c r="O27" s="74"/>
      <c r="P27" s="75">
        <f t="shared" si="0"/>
        <v>0</v>
      </c>
      <c r="Q27" s="218"/>
      <c r="R27" s="320">
        <f t="shared" si="1"/>
        <v>0</v>
      </c>
      <c r="S27" s="107"/>
      <c r="T27" s="5"/>
      <c r="U27" s="32">
        <f>+U25-U26</f>
        <v>-720</v>
      </c>
      <c r="V27" s="47"/>
      <c r="W27" s="33"/>
      <c r="X27" s="262" t="s">
        <v>59</v>
      </c>
      <c r="Z27" s="282">
        <f t="shared" si="2"/>
        <v>43637</v>
      </c>
      <c r="AA27" s="319"/>
      <c r="AB27" s="281"/>
      <c r="AC27" s="66"/>
    </row>
    <row r="28" spans="1:29">
      <c r="A28" s="215"/>
      <c r="H28" s="83"/>
      <c r="I28" s="126" t="s">
        <v>79</v>
      </c>
      <c r="J28" s="82" t="s">
        <v>110</v>
      </c>
      <c r="K28" s="228"/>
      <c r="L28" s="227">
        <v>0</v>
      </c>
      <c r="M28" s="164"/>
      <c r="N28" s="163">
        <v>0</v>
      </c>
      <c r="O28" s="76">
        <v>36</v>
      </c>
      <c r="P28" s="75">
        <f t="shared" si="0"/>
        <v>150</v>
      </c>
      <c r="Q28" s="217"/>
      <c r="R28" s="11">
        <f t="shared" si="1"/>
        <v>150</v>
      </c>
      <c r="S28" s="106"/>
      <c r="T28" s="5"/>
      <c r="U28" s="34">
        <v>150</v>
      </c>
      <c r="V28" s="38">
        <f>+U28-U27</f>
        <v>870</v>
      </c>
      <c r="W28" s="39" t="s">
        <v>63</v>
      </c>
      <c r="X28" s="263">
        <f>150-V28</f>
        <v>-720</v>
      </c>
      <c r="Z28" s="314" t="s">
        <v>150</v>
      </c>
      <c r="AA28" s="315">
        <f>SUM(AA17:AA27)</f>
        <v>3</v>
      </c>
      <c r="AB28" s="316" t="s">
        <v>148</v>
      </c>
      <c r="AC28" s="68"/>
    </row>
    <row r="29" spans="1:29">
      <c r="H29" s="83"/>
      <c r="I29" s="269" t="s">
        <v>214</v>
      </c>
      <c r="J29" s="270" t="s">
        <v>215</v>
      </c>
      <c r="K29" s="271"/>
      <c r="L29" s="272">
        <v>0</v>
      </c>
      <c r="M29" s="271"/>
      <c r="N29" s="272">
        <f>3*M29</f>
        <v>0</v>
      </c>
      <c r="O29" s="271">
        <v>36</v>
      </c>
      <c r="P29" s="272">
        <f t="shared" si="0"/>
        <v>150</v>
      </c>
      <c r="Q29" s="273"/>
      <c r="R29" s="272">
        <f t="shared" si="1"/>
        <v>150</v>
      </c>
      <c r="S29" s="274"/>
      <c r="T29" s="5"/>
      <c r="U29" s="10"/>
      <c r="X29" s="37"/>
      <c r="Z29" s="184"/>
      <c r="AA29" s="171">
        <f>SUM(AB17:AB27)</f>
        <v>11</v>
      </c>
      <c r="AB29" s="185" t="s">
        <v>149</v>
      </c>
      <c r="AC29" s="69"/>
    </row>
    <row r="30" spans="1:29" ht="16.5">
      <c r="A30" s="237"/>
      <c r="B30" s="237"/>
      <c r="C30" s="237"/>
      <c r="D30" s="238"/>
      <c r="E30" s="237"/>
      <c r="F30" s="239"/>
      <c r="G30" s="237"/>
      <c r="H30" s="142"/>
      <c r="I30" s="25" t="s">
        <v>45</v>
      </c>
      <c r="J30" s="96" t="s">
        <v>133</v>
      </c>
      <c r="K30" s="29"/>
      <c r="L30" s="27">
        <f>+K30*3</f>
        <v>0</v>
      </c>
      <c r="M30" s="164"/>
      <c r="N30" s="163">
        <f>+M30*3</f>
        <v>0</v>
      </c>
      <c r="O30" s="28">
        <v>30</v>
      </c>
      <c r="P30" s="11">
        <f t="shared" si="0"/>
        <v>150</v>
      </c>
      <c r="Q30" s="218"/>
      <c r="R30" s="240">
        <f t="shared" si="1"/>
        <v>150</v>
      </c>
      <c r="S30" s="241"/>
      <c r="T30" s="5"/>
      <c r="U30" s="258"/>
      <c r="V30" s="259">
        <v>87.41</v>
      </c>
      <c r="W30" s="260">
        <v>657.79</v>
      </c>
      <c r="X30" s="100"/>
      <c r="Y30" s="266"/>
      <c r="Z30" s="186" t="s">
        <v>160</v>
      </c>
      <c r="AA30" s="284">
        <f>+AA29/AA28</f>
        <v>3.6666666666666665</v>
      </c>
      <c r="AB30" s="173" t="s">
        <v>150</v>
      </c>
      <c r="AC30" s="65"/>
    </row>
    <row r="31" spans="1:29">
      <c r="A31" s="215"/>
      <c r="H31" s="142"/>
      <c r="I31" s="25" t="s">
        <v>13</v>
      </c>
      <c r="J31" s="81" t="s">
        <v>121</v>
      </c>
      <c r="K31" s="228"/>
      <c r="L31" s="227">
        <f>3*K31</f>
        <v>0</v>
      </c>
      <c r="M31" s="164"/>
      <c r="N31" s="163">
        <v>0</v>
      </c>
      <c r="O31" s="28">
        <v>33</v>
      </c>
      <c r="P31" s="75">
        <f t="shared" si="0"/>
        <v>150</v>
      </c>
      <c r="Q31" s="218"/>
      <c r="R31" s="57">
        <f t="shared" si="1"/>
        <v>150</v>
      </c>
      <c r="S31" s="107"/>
      <c r="T31" s="5"/>
      <c r="U31" s="261">
        <v>720</v>
      </c>
      <c r="V31" s="256" t="e">
        <f>+V30*U31/U30</f>
        <v>#DIV/0!</v>
      </c>
      <c r="W31" s="257" t="e">
        <f>+U31-V31</f>
        <v>#DIV/0!</v>
      </c>
      <c r="X31" s="36" t="s">
        <v>289</v>
      </c>
    </row>
    <row r="32" spans="1:29">
      <c r="A32" s="215"/>
      <c r="H32" s="95"/>
      <c r="I32" s="25" t="s">
        <v>31</v>
      </c>
      <c r="J32" s="81" t="s">
        <v>127</v>
      </c>
      <c r="K32" s="228"/>
      <c r="L32" s="227">
        <v>0</v>
      </c>
      <c r="M32" s="164"/>
      <c r="N32" s="163">
        <v>0</v>
      </c>
      <c r="O32" s="28">
        <v>35</v>
      </c>
      <c r="P32" s="75">
        <f t="shared" si="0"/>
        <v>150</v>
      </c>
      <c r="Q32" s="218"/>
      <c r="R32" s="11">
        <f t="shared" si="1"/>
        <v>150</v>
      </c>
      <c r="S32" s="107"/>
      <c r="T32" s="5"/>
      <c r="U32" s="32">
        <f>+U30-U31</f>
        <v>-720</v>
      </c>
      <c r="V32" s="47"/>
      <c r="W32" s="33"/>
      <c r="X32" s="262" t="s">
        <v>59</v>
      </c>
    </row>
    <row r="33" spans="1:32">
      <c r="A33" s="215"/>
      <c r="H33" s="95"/>
      <c r="I33" s="25" t="s">
        <v>30</v>
      </c>
      <c r="J33" s="81" t="s">
        <v>126</v>
      </c>
      <c r="K33" s="228"/>
      <c r="L33" s="227">
        <f>+K33*3</f>
        <v>0</v>
      </c>
      <c r="M33" s="164"/>
      <c r="N33" s="163">
        <f>+M33*3</f>
        <v>0</v>
      </c>
      <c r="O33" s="28">
        <v>34</v>
      </c>
      <c r="P33" s="75">
        <f t="shared" si="0"/>
        <v>150</v>
      </c>
      <c r="Q33" s="218"/>
      <c r="R33" s="320">
        <f t="shared" si="1"/>
        <v>150</v>
      </c>
      <c r="S33" s="107"/>
      <c r="T33" s="5"/>
      <c r="U33" s="34">
        <v>150</v>
      </c>
      <c r="V33" s="38">
        <f>+U33-U32</f>
        <v>870</v>
      </c>
      <c r="W33" s="39" t="s">
        <v>63</v>
      </c>
      <c r="X33" s="263">
        <f>150-V33</f>
        <v>-720</v>
      </c>
    </row>
    <row r="34" spans="1:32" s="4" customFormat="1">
      <c r="A34" s="215"/>
      <c r="B34"/>
      <c r="C34"/>
      <c r="D34" s="1"/>
      <c r="E34"/>
      <c r="F34" s="2"/>
      <c r="G34"/>
      <c r="H34" s="83"/>
      <c r="I34" s="269" t="s">
        <v>186</v>
      </c>
      <c r="J34" s="270" t="s">
        <v>187</v>
      </c>
      <c r="K34" s="271"/>
      <c r="L34" s="272">
        <v>0</v>
      </c>
      <c r="M34" s="271"/>
      <c r="N34" s="272">
        <v>0</v>
      </c>
      <c r="O34" s="271"/>
      <c r="P34" s="272">
        <f t="shared" si="0"/>
        <v>0</v>
      </c>
      <c r="Q34" s="273"/>
      <c r="R34" s="272">
        <f t="shared" si="1"/>
        <v>0</v>
      </c>
      <c r="S34" s="274"/>
      <c r="T34" s="5"/>
      <c r="U34" s="58"/>
      <c r="V34" s="59"/>
      <c r="W34" s="60"/>
      <c r="X34" s="61"/>
      <c r="Y34"/>
      <c r="Z34"/>
      <c r="AA34"/>
      <c r="AB34"/>
      <c r="AC34"/>
      <c r="AD34"/>
      <c r="AE34"/>
      <c r="AF34"/>
    </row>
    <row r="35" spans="1:32">
      <c r="A35" s="215"/>
      <c r="H35" s="83"/>
      <c r="I35" s="25" t="s">
        <v>17</v>
      </c>
      <c r="J35" s="81" t="s">
        <v>123</v>
      </c>
      <c r="K35" s="228"/>
      <c r="L35" s="227">
        <f>+K35*3</f>
        <v>0</v>
      </c>
      <c r="M35" s="164"/>
      <c r="N35" s="163">
        <v>0</v>
      </c>
      <c r="O35" s="74">
        <v>33</v>
      </c>
      <c r="P35" s="75">
        <f t="shared" si="0"/>
        <v>150</v>
      </c>
      <c r="Q35" s="218"/>
      <c r="R35" s="11">
        <f t="shared" si="1"/>
        <v>150</v>
      </c>
      <c r="S35" s="107"/>
      <c r="T35" s="5"/>
      <c r="U35" s="287" t="s">
        <v>288</v>
      </c>
    </row>
    <row r="36" spans="1:32">
      <c r="A36" s="215"/>
      <c r="H36" s="83"/>
      <c r="I36" s="25" t="s">
        <v>60</v>
      </c>
      <c r="J36" s="81" t="s">
        <v>132</v>
      </c>
      <c r="K36" s="228"/>
      <c r="L36" s="227">
        <v>0</v>
      </c>
      <c r="M36" s="164"/>
      <c r="N36" s="163">
        <v>0</v>
      </c>
      <c r="O36" s="74"/>
      <c r="P36" s="75">
        <f>IF(O36&gt;25,150,(O36)*6)</f>
        <v>0</v>
      </c>
      <c r="Q36" s="218"/>
      <c r="R36" s="11">
        <f>+L36+N36+P36+Q36</f>
        <v>0</v>
      </c>
      <c r="S36" s="107"/>
      <c r="T36" s="5"/>
    </row>
    <row r="37" spans="1:32">
      <c r="H37" s="142"/>
      <c r="I37" s="25" t="s">
        <v>233</v>
      </c>
      <c r="J37" s="81" t="s">
        <v>234</v>
      </c>
      <c r="K37" s="228"/>
      <c r="L37" s="227">
        <v>0</v>
      </c>
      <c r="M37" s="164"/>
      <c r="N37" s="163">
        <v>0</v>
      </c>
      <c r="O37" s="28"/>
      <c r="P37" s="75">
        <f t="shared" si="0"/>
        <v>0</v>
      </c>
      <c r="Q37" s="218"/>
      <c r="R37" s="57">
        <f t="shared" si="1"/>
        <v>0</v>
      </c>
      <c r="S37" s="107"/>
      <c r="T37" s="5"/>
    </row>
    <row r="38" spans="1:32">
      <c r="A38" s="215"/>
      <c r="H38" s="142"/>
      <c r="I38" s="25" t="s">
        <v>8</v>
      </c>
      <c r="J38" s="81" t="s">
        <v>120</v>
      </c>
      <c r="K38" s="228"/>
      <c r="L38" s="227">
        <v>0</v>
      </c>
      <c r="M38" s="164"/>
      <c r="N38" s="163">
        <v>0</v>
      </c>
      <c r="O38" s="28">
        <v>30</v>
      </c>
      <c r="P38" s="75">
        <f t="shared" si="0"/>
        <v>150</v>
      </c>
      <c r="Q38" s="218"/>
      <c r="R38" s="57">
        <f t="shared" si="1"/>
        <v>150</v>
      </c>
      <c r="S38" s="107"/>
      <c r="T38" s="5"/>
      <c r="AF38" s="4"/>
    </row>
    <row r="39" spans="1:32">
      <c r="A39" s="215"/>
      <c r="H39" s="83"/>
      <c r="I39" s="25" t="s">
        <v>11</v>
      </c>
      <c r="J39" s="96" t="s">
        <v>130</v>
      </c>
      <c r="K39" s="228"/>
      <c r="L39" s="227">
        <f>+K39*3</f>
        <v>0</v>
      </c>
      <c r="M39" s="164"/>
      <c r="N39" s="163">
        <f>+M39*3</f>
        <v>0</v>
      </c>
      <c r="O39" s="74">
        <v>33</v>
      </c>
      <c r="P39" s="75">
        <f t="shared" si="0"/>
        <v>150</v>
      </c>
      <c r="Q39" s="220"/>
      <c r="R39" s="11">
        <f t="shared" si="1"/>
        <v>150</v>
      </c>
      <c r="S39" s="107"/>
      <c r="T39" s="5"/>
    </row>
    <row r="40" spans="1:32">
      <c r="H40" s="83"/>
      <c r="I40" s="25" t="s">
        <v>44</v>
      </c>
      <c r="J40" s="96" t="s">
        <v>124</v>
      </c>
      <c r="K40" s="228"/>
      <c r="L40" s="227">
        <f>+K40*3</f>
        <v>0</v>
      </c>
      <c r="M40" s="164"/>
      <c r="N40" s="163">
        <f>+M40*3</f>
        <v>0</v>
      </c>
      <c r="O40" s="113"/>
      <c r="P40" s="75">
        <f t="shared" si="0"/>
        <v>0</v>
      </c>
      <c r="Q40" s="218"/>
      <c r="R40" s="11">
        <f t="shared" si="1"/>
        <v>0</v>
      </c>
      <c r="S40" s="107"/>
      <c r="T40" s="5"/>
    </row>
    <row r="41" spans="1:32">
      <c r="H41" s="83"/>
      <c r="I41" s="25" t="s">
        <v>6</v>
      </c>
      <c r="J41" s="96" t="s">
        <v>116</v>
      </c>
      <c r="K41" s="228"/>
      <c r="L41" s="227">
        <f>+K41*3</f>
        <v>0</v>
      </c>
      <c r="M41" s="164"/>
      <c r="N41" s="163">
        <f>+M41*3</f>
        <v>0</v>
      </c>
      <c r="O41" s="74">
        <v>27</v>
      </c>
      <c r="P41" s="75">
        <f t="shared" si="0"/>
        <v>150</v>
      </c>
      <c r="Q41" s="220"/>
      <c r="R41" s="11">
        <f t="shared" si="1"/>
        <v>150</v>
      </c>
      <c r="S41" s="107"/>
      <c r="T41" s="5"/>
    </row>
    <row r="42" spans="1:32">
      <c r="H42" s="95"/>
      <c r="I42" s="25" t="s">
        <v>53</v>
      </c>
      <c r="J42" s="81" t="s">
        <v>135</v>
      </c>
      <c r="K42" s="228"/>
      <c r="L42" s="227">
        <v>0</v>
      </c>
      <c r="M42" s="164"/>
      <c r="N42" s="163">
        <v>0</v>
      </c>
      <c r="O42" s="28"/>
      <c r="P42" s="75">
        <f t="shared" si="0"/>
        <v>0</v>
      </c>
      <c r="Q42" s="218"/>
      <c r="R42" s="11">
        <f t="shared" si="1"/>
        <v>0</v>
      </c>
      <c r="S42" s="107"/>
      <c r="T42" s="5"/>
    </row>
    <row r="43" spans="1:32">
      <c r="H43" s="81"/>
      <c r="I43" s="120" t="s">
        <v>12</v>
      </c>
      <c r="J43" s="150" t="s">
        <v>114</v>
      </c>
      <c r="K43" s="232"/>
      <c r="L43" s="233">
        <v>0</v>
      </c>
      <c r="M43" s="165"/>
      <c r="N43" s="166">
        <f>2.85*M43</f>
        <v>0</v>
      </c>
      <c r="O43" s="122"/>
      <c r="P43" s="147">
        <f t="shared" si="0"/>
        <v>0</v>
      </c>
      <c r="Q43" s="222"/>
      <c r="R43" s="322">
        <f t="shared" si="1"/>
        <v>0</v>
      </c>
      <c r="S43" s="148"/>
      <c r="T43" s="5"/>
    </row>
    <row r="44" spans="1:32">
      <c r="I44" s="13"/>
      <c r="J44" s="14"/>
      <c r="K44" s="234">
        <f t="shared" ref="K44:S44" si="3">SUM(K5:K43)</f>
        <v>0</v>
      </c>
      <c r="L44" s="235">
        <f t="shared" si="3"/>
        <v>0</v>
      </c>
      <c r="M44" s="167">
        <f t="shared" si="3"/>
        <v>0</v>
      </c>
      <c r="N44" s="168">
        <f t="shared" si="3"/>
        <v>0</v>
      </c>
      <c r="O44" s="77">
        <f t="shared" si="3"/>
        <v>642</v>
      </c>
      <c r="P44" s="78">
        <f t="shared" si="3"/>
        <v>2982</v>
      </c>
      <c r="Q44" s="223">
        <f t="shared" si="3"/>
        <v>0</v>
      </c>
      <c r="R44" s="78">
        <f t="shared" si="3"/>
        <v>2982</v>
      </c>
      <c r="S44" s="102">
        <f t="shared" si="3"/>
        <v>0</v>
      </c>
      <c r="T44" s="5"/>
    </row>
    <row r="45" spans="1:32">
      <c r="J45" s="200">
        <f ca="1">TODAY()</f>
        <v>43825</v>
      </c>
      <c r="K45" s="41"/>
      <c r="M45" s="42"/>
      <c r="N45" s="41"/>
      <c r="O45" s="45" t="s">
        <v>81</v>
      </c>
      <c r="Q45" s="42"/>
      <c r="R45" s="45">
        <f>+R14+R15+R21+R22</f>
        <v>150</v>
      </c>
      <c r="T45" s="5"/>
    </row>
    <row r="46" spans="1:32">
      <c r="L46" s="43"/>
      <c r="M46" s="44"/>
      <c r="N46" s="125"/>
      <c r="O46" s="43" t="s">
        <v>91</v>
      </c>
      <c r="P46" s="114"/>
      <c r="Q46" s="110" t="s">
        <v>58</v>
      </c>
      <c r="R46" s="111">
        <f>+R44-R45</f>
        <v>2832</v>
      </c>
      <c r="S46" s="109"/>
      <c r="T46" s="5"/>
      <c r="AC46">
        <v>4</v>
      </c>
    </row>
    <row r="47" spans="1:32" ht="3.95" customHeight="1">
      <c r="P47" s="1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I48" s="254" t="s">
        <v>301</v>
      </c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255" t="s">
        <v>302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254" t="s">
        <v>303</v>
      </c>
      <c r="P50" s="19"/>
      <c r="T50" s="5"/>
    </row>
    <row r="51" spans="9:29">
      <c r="I51" s="254" t="s">
        <v>304</v>
      </c>
      <c r="P51" s="19"/>
      <c r="T51" s="5"/>
    </row>
    <row r="52" spans="9:29">
      <c r="U52" s="58"/>
      <c r="V52" s="59"/>
      <c r="W52" s="60"/>
      <c r="X52" s="61"/>
    </row>
    <row r="53" spans="9:29">
      <c r="U53" s="58"/>
      <c r="V53" s="59"/>
      <c r="W53" s="60"/>
      <c r="X53" s="61"/>
    </row>
    <row r="54" spans="9:29">
      <c r="U54" s="58"/>
      <c r="V54" s="59"/>
      <c r="W54" s="62"/>
      <c r="X54" s="65"/>
    </row>
    <row r="55" spans="9:29">
      <c r="U55" s="58"/>
      <c r="V55" s="59"/>
      <c r="W55" s="67"/>
      <c r="X55" s="60"/>
    </row>
    <row r="56" spans="9:29">
      <c r="U56" s="58"/>
      <c r="V56" s="59"/>
      <c r="W56" s="60"/>
      <c r="X56" s="60"/>
    </row>
    <row r="57" spans="9:29">
      <c r="U57" s="58"/>
      <c r="V57" s="59"/>
      <c r="W57" s="60"/>
      <c r="X57" s="68"/>
    </row>
    <row r="58" spans="9:29">
      <c r="U58" s="58"/>
      <c r="V58" s="59"/>
      <c r="W58" s="60"/>
      <c r="X58" s="69"/>
    </row>
    <row r="59" spans="9:29">
      <c r="U59" s="58"/>
      <c r="V59" s="59"/>
      <c r="W59" s="60"/>
      <c r="X59" s="60"/>
    </row>
    <row r="60" spans="9:29">
      <c r="U60" s="58"/>
      <c r="V60" s="59"/>
      <c r="W60" s="60"/>
      <c r="X60" s="60"/>
    </row>
    <row r="61" spans="9:29">
      <c r="U61" s="58"/>
      <c r="V61" s="59"/>
      <c r="W61" s="62"/>
      <c r="X61" s="60"/>
    </row>
    <row r="62" spans="9:29">
      <c r="U62" s="58"/>
      <c r="V62" s="59"/>
      <c r="W62" s="62"/>
      <c r="X62" s="60"/>
    </row>
    <row r="63" spans="9:29">
      <c r="U63" s="64"/>
      <c r="V63" s="59"/>
      <c r="W63" s="60"/>
      <c r="X63" s="60"/>
    </row>
    <row r="64" spans="9:29">
      <c r="U64" s="58"/>
      <c r="V64" s="66"/>
      <c r="W64" s="67"/>
      <c r="X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  <row r="68" spans="21:23">
      <c r="U68" s="60"/>
      <c r="V68" s="59"/>
      <c r="W68" s="60"/>
    </row>
    <row r="69" spans="21:23">
      <c r="U69" s="60"/>
      <c r="V69" s="59"/>
      <c r="W69" s="60"/>
    </row>
    <row r="70" spans="21:23">
      <c r="U70" s="60"/>
      <c r="V70" s="59"/>
      <c r="W70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62" priority="2" operator="lessThanOrEqual">
      <formula>0</formula>
    </cfRule>
  </conditionalFormatting>
  <conditionalFormatting sqref="R5:R43">
    <cfRule type="cellIs" dxfId="61" priority="1" operator="greaterThan">
      <formula>0</formula>
    </cfRule>
  </conditionalFormatting>
  <printOptions horizontalCentered="1"/>
  <pageMargins left="0" right="0" top="0.6692913385826772" bottom="0" header="0" footer="0"/>
  <pageSetup paperSize="9" scale="105" orientation="portrait" r:id="rId1"/>
  <ignoredErrors>
    <ignoredError sqref="L18:N28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>
  <dimension ref="A1:AF75"/>
  <sheetViews>
    <sheetView zoomScale="82" zoomScaleNormal="82" workbookViewId="0">
      <pane xSplit="10" ySplit="4" topLeftCell="K49" activePane="bottomRight" state="frozen"/>
      <selection pane="topRight" activeCell="K1" sqref="K1"/>
      <selection pane="bottomLeft" activeCell="A5" sqref="A5"/>
      <selection pane="bottomRight" activeCell="K49" sqref="K49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.28515625" customWidth="1"/>
    <col min="9" max="9" width="7.42578125" customWidth="1"/>
    <col min="10" max="10" width="24.42578125" customWidth="1"/>
    <col min="11" max="11" width="1.7109375" customWidth="1"/>
    <col min="12" max="12" width="1.5703125" customWidth="1"/>
    <col min="13" max="13" width="5.7109375" customWidth="1"/>
    <col min="14" max="14" width="7.7109375" customWidth="1"/>
    <col min="15" max="15" width="6.140625" customWidth="1"/>
    <col min="16" max="16" width="11.42578125" customWidth="1"/>
    <col min="17" max="17" width="6.42578125" customWidth="1"/>
    <col min="18" max="18" width="17.28515625" customWidth="1"/>
    <col min="19" max="19" width="2.710937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>
      <c r="H2" s="83"/>
      <c r="I2" s="439" t="s">
        <v>274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v>43613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285" t="s">
        <v>294</v>
      </c>
      <c r="O4" s="87" t="s">
        <v>15</v>
      </c>
      <c r="P4" s="87" t="s">
        <v>295</v>
      </c>
      <c r="Q4" s="99" t="s">
        <v>296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v>0</v>
      </c>
      <c r="O5" s="76">
        <v>37</v>
      </c>
      <c r="P5" s="75">
        <f t="shared" ref="P5:P43" si="0">IF(O5&gt;25,150,(O5)*6)</f>
        <v>150</v>
      </c>
      <c r="Q5" s="217"/>
      <c r="R5" s="11">
        <f t="shared" ref="R5:R43" si="1">+L5+N5+P5+Q5</f>
        <v>150</v>
      </c>
      <c r="S5" s="106"/>
      <c r="T5" s="5"/>
      <c r="U5" s="258"/>
      <c r="V5" s="259">
        <v>98.7</v>
      </c>
      <c r="W5" s="260">
        <v>660.5</v>
      </c>
      <c r="X5" s="242"/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261">
        <v>720</v>
      </c>
      <c r="V6" s="256" t="e">
        <f>+V5*U6/U5</f>
        <v>#DIV/0!</v>
      </c>
      <c r="W6" s="257" t="e">
        <f>+U6-V6</f>
        <v>#DIV/0!</v>
      </c>
      <c r="X6" s="36" t="s">
        <v>289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164"/>
      <c r="N7" s="163">
        <v>0</v>
      </c>
      <c r="O7" s="74">
        <v>38</v>
      </c>
      <c r="P7" s="75">
        <f t="shared" si="0"/>
        <v>150</v>
      </c>
      <c r="Q7" s="218"/>
      <c r="R7" s="320">
        <f t="shared" si="1"/>
        <v>150</v>
      </c>
      <c r="S7" s="106"/>
      <c r="T7" s="5"/>
      <c r="U7" s="32">
        <f>+U5-U6</f>
        <v>-720</v>
      </c>
      <c r="V7" s="47"/>
      <c r="W7" s="33"/>
      <c r="X7" s="262" t="s">
        <v>59</v>
      </c>
    </row>
    <row r="8" spans="8:29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>
        <v>41</v>
      </c>
      <c r="P8" s="75">
        <f t="shared" si="0"/>
        <v>150</v>
      </c>
      <c r="Q8" s="218"/>
      <c r="R8" s="320">
        <f t="shared" si="1"/>
        <v>150</v>
      </c>
      <c r="S8" s="138"/>
      <c r="T8" s="5"/>
      <c r="U8" s="34">
        <v>150</v>
      </c>
      <c r="V8" s="38">
        <f>+U8-U7</f>
        <v>870</v>
      </c>
      <c r="W8" s="39" t="s">
        <v>63</v>
      </c>
      <c r="X8" s="263">
        <f>150-V8</f>
        <v>-720</v>
      </c>
    </row>
    <row r="9" spans="8:29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/>
      <c r="P9" s="75">
        <f t="shared" si="0"/>
        <v>0</v>
      </c>
      <c r="Q9" s="218"/>
      <c r="R9" s="11">
        <f t="shared" si="1"/>
        <v>0</v>
      </c>
      <c r="S9" s="107"/>
      <c r="T9" s="5"/>
      <c r="U9" s="10"/>
      <c r="X9" s="37"/>
    </row>
    <row r="10" spans="8:29" ht="15" customHeight="1">
      <c r="H10" s="95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28"/>
      <c r="P10" s="75">
        <f t="shared" si="0"/>
        <v>0</v>
      </c>
      <c r="Q10" s="218"/>
      <c r="R10" s="11">
        <f t="shared" si="1"/>
        <v>0</v>
      </c>
      <c r="S10" s="197"/>
      <c r="T10" s="5"/>
      <c r="U10" s="258"/>
      <c r="V10" s="259">
        <v>101.95</v>
      </c>
      <c r="W10" s="260">
        <v>685.25</v>
      </c>
      <c r="X10" s="286"/>
      <c r="Y10" s="266"/>
    </row>
    <row r="11" spans="8:29">
      <c r="H11" s="141"/>
      <c r="I11" s="126" t="s">
        <v>56</v>
      </c>
      <c r="J11" s="80" t="s">
        <v>136</v>
      </c>
      <c r="K11" s="226"/>
      <c r="L11" s="227">
        <v>0</v>
      </c>
      <c r="M11" s="162"/>
      <c r="N11" s="163">
        <f>2.7*M11</f>
        <v>0</v>
      </c>
      <c r="O11" s="74"/>
      <c r="P11" s="75">
        <f t="shared" si="0"/>
        <v>0</v>
      </c>
      <c r="Q11" s="217"/>
      <c r="R11" s="9">
        <f t="shared" si="1"/>
        <v>0</v>
      </c>
      <c r="S11" s="107"/>
      <c r="T11" s="5"/>
      <c r="U11" s="261">
        <v>720</v>
      </c>
      <c r="V11" s="256" t="e">
        <f>+V10*U11/U10</f>
        <v>#DIV/0!</v>
      </c>
      <c r="W11" s="257" t="e">
        <f>+U11-V11</f>
        <v>#DIV/0!</v>
      </c>
      <c r="X11" s="36" t="s">
        <v>289</v>
      </c>
    </row>
    <row r="12" spans="8:29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>
        <v>32</v>
      </c>
      <c r="P12" s="75">
        <f t="shared" si="0"/>
        <v>150</v>
      </c>
      <c r="Q12" s="218"/>
      <c r="R12" s="9">
        <f t="shared" si="1"/>
        <v>150</v>
      </c>
      <c r="S12" s="106"/>
      <c r="T12" s="5"/>
      <c r="U12" s="32">
        <f>+U10-U11</f>
        <v>-720</v>
      </c>
      <c r="V12" s="47"/>
      <c r="W12" s="33"/>
      <c r="X12" s="262" t="s">
        <v>59</v>
      </c>
    </row>
    <row r="13" spans="8:29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870</v>
      </c>
      <c r="W13" s="39" t="s">
        <v>63</v>
      </c>
      <c r="X13" s="263">
        <f>150-V13</f>
        <v>-720</v>
      </c>
    </row>
    <row r="14" spans="8:29">
      <c r="H14" s="214" t="s">
        <v>227</v>
      </c>
      <c r="I14" s="188" t="s">
        <v>20</v>
      </c>
      <c r="J14" s="242" t="s">
        <v>195</v>
      </c>
      <c r="K14" s="192"/>
      <c r="L14" s="193">
        <f>+K14*3</f>
        <v>0</v>
      </c>
      <c r="M14" s="192"/>
      <c r="N14" s="193">
        <f>+M14*3</f>
        <v>0</v>
      </c>
      <c r="O14" s="192">
        <v>37</v>
      </c>
      <c r="P14" s="193">
        <f t="shared" si="0"/>
        <v>150</v>
      </c>
      <c r="Q14" s="221"/>
      <c r="R14" s="193">
        <f t="shared" si="1"/>
        <v>150</v>
      </c>
      <c r="S14" s="197"/>
      <c r="T14" s="5"/>
      <c r="U14" s="10"/>
      <c r="X14" s="37"/>
    </row>
    <row r="15" spans="8:29">
      <c r="H15" s="251" t="s">
        <v>50</v>
      </c>
      <c r="I15" s="275" t="s">
        <v>272</v>
      </c>
      <c r="J15" s="276" t="s">
        <v>271</v>
      </c>
      <c r="K15" s="277"/>
      <c r="L15" s="278">
        <v>0</v>
      </c>
      <c r="M15" s="277">
        <v>8</v>
      </c>
      <c r="N15" s="278">
        <v>0</v>
      </c>
      <c r="O15" s="277"/>
      <c r="P15" s="278">
        <f t="shared" si="0"/>
        <v>0</v>
      </c>
      <c r="Q15" s="279"/>
      <c r="R15" s="278">
        <f t="shared" si="1"/>
        <v>0</v>
      </c>
      <c r="S15" s="280"/>
      <c r="T15" s="5"/>
      <c r="U15" s="258"/>
      <c r="V15" s="259">
        <v>96.5</v>
      </c>
      <c r="W15" s="260">
        <v>648.70000000000005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95"/>
      <c r="I16" s="25" t="s">
        <v>25</v>
      </c>
      <c r="J16" s="81" t="s">
        <v>118</v>
      </c>
      <c r="K16" s="228"/>
      <c r="L16" s="227">
        <f>+K16*3</f>
        <v>0</v>
      </c>
      <c r="M16" s="164"/>
      <c r="N16" s="163">
        <f>+M16*3</f>
        <v>0</v>
      </c>
      <c r="O16" s="28">
        <v>26</v>
      </c>
      <c r="P16" s="75">
        <f t="shared" si="0"/>
        <v>150</v>
      </c>
      <c r="Q16" s="218"/>
      <c r="R16" s="11">
        <f t="shared" si="1"/>
        <v>150</v>
      </c>
      <c r="S16" s="107"/>
      <c r="T16" s="5"/>
      <c r="U16" s="261">
        <v>720</v>
      </c>
      <c r="V16" s="256" t="e">
        <f>+V15*U16/U15</f>
        <v>#DIV/0!</v>
      </c>
      <c r="W16" s="257" t="e">
        <f>+U16-V16</f>
        <v>#DIV/0!</v>
      </c>
      <c r="X16" s="36" t="s">
        <v>289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164"/>
      <c r="N17" s="163">
        <f>+M17*3</f>
        <v>0</v>
      </c>
      <c r="O17" s="28">
        <v>2</v>
      </c>
      <c r="P17" s="75">
        <f t="shared" si="0"/>
        <v>12</v>
      </c>
      <c r="Q17" s="218"/>
      <c r="R17" s="11">
        <f t="shared" si="1"/>
        <v>12</v>
      </c>
      <c r="S17" s="107"/>
      <c r="T17" s="5"/>
      <c r="U17" s="32">
        <f>+U15-U16</f>
        <v>-720</v>
      </c>
      <c r="V17" s="47"/>
      <c r="W17" s="33"/>
      <c r="X17" s="262" t="s">
        <v>59</v>
      </c>
      <c r="Z17" s="282">
        <v>43627</v>
      </c>
      <c r="AA17" s="317">
        <v>0.5</v>
      </c>
      <c r="AB17" s="281">
        <v>2</v>
      </c>
      <c r="AC17" s="174" t="s">
        <v>157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162"/>
      <c r="N18" s="163">
        <f>5*M18</f>
        <v>0</v>
      </c>
      <c r="O18" s="76">
        <v>31</v>
      </c>
      <c r="P18" s="75">
        <f t="shared" si="0"/>
        <v>150</v>
      </c>
      <c r="Q18" s="217"/>
      <c r="R18" s="11">
        <f t="shared" si="1"/>
        <v>150</v>
      </c>
      <c r="S18" s="106"/>
      <c r="T18" s="5"/>
      <c r="U18" s="34">
        <v>150</v>
      </c>
      <c r="V18" s="38">
        <f>+U18-U17</f>
        <v>870</v>
      </c>
      <c r="W18" s="39" t="s">
        <v>63</v>
      </c>
      <c r="X18" s="263">
        <f>150-V18</f>
        <v>-720</v>
      </c>
      <c r="Z18" s="282">
        <f>1+Z17</f>
        <v>43628</v>
      </c>
      <c r="AA18" s="318">
        <v>1</v>
      </c>
      <c r="AB18" s="281">
        <v>4</v>
      </c>
      <c r="AC18" s="33" t="s">
        <v>156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164"/>
      <c r="N19" s="163">
        <f>+M19*3</f>
        <v>0</v>
      </c>
      <c r="O19" s="74">
        <v>39</v>
      </c>
      <c r="P19" s="75">
        <f t="shared" si="0"/>
        <v>150</v>
      </c>
      <c r="Q19" s="217"/>
      <c r="R19" s="9">
        <f t="shared" si="1"/>
        <v>150</v>
      </c>
      <c r="S19" s="107"/>
      <c r="T19" s="5"/>
      <c r="U19" s="10"/>
      <c r="X19" s="37"/>
      <c r="Z19" s="282">
        <f t="shared" ref="Z19:Z27" si="2">1+Z18</f>
        <v>43629</v>
      </c>
      <c r="AA19" s="318">
        <v>1</v>
      </c>
      <c r="AB19" s="281">
        <v>3</v>
      </c>
      <c r="AC19" s="33" t="s">
        <v>151</v>
      </c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164">
        <v>6</v>
      </c>
      <c r="N20" s="163">
        <v>0</v>
      </c>
      <c r="O20" s="74"/>
      <c r="P20" s="75">
        <f t="shared" si="0"/>
        <v>0</v>
      </c>
      <c r="Q20" s="217"/>
      <c r="R20" s="9">
        <f t="shared" si="1"/>
        <v>0</v>
      </c>
      <c r="S20" s="107"/>
      <c r="T20" s="5"/>
      <c r="U20" s="258"/>
      <c r="V20" s="259">
        <v>96.88</v>
      </c>
      <c r="W20" s="260">
        <v>648.32000000000005</v>
      </c>
      <c r="X20" s="100"/>
      <c r="Y20" s="266"/>
      <c r="Z20" s="282">
        <f t="shared" si="2"/>
        <v>43630</v>
      </c>
      <c r="AA20" s="318">
        <v>0.5</v>
      </c>
      <c r="AB20" s="281">
        <v>2</v>
      </c>
      <c r="AC20" s="33" t="s">
        <v>152</v>
      </c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277">
        <v>10</v>
      </c>
      <c r="N21" s="278">
        <v>0</v>
      </c>
      <c r="O21" s="277"/>
      <c r="P21" s="278">
        <f t="shared" si="0"/>
        <v>0</v>
      </c>
      <c r="Q21" s="279"/>
      <c r="R21" s="278">
        <f t="shared" si="1"/>
        <v>0</v>
      </c>
      <c r="S21" s="280"/>
      <c r="T21" s="5"/>
      <c r="U21" s="261">
        <v>720</v>
      </c>
      <c r="V21" s="256" t="e">
        <f>+V20*U21/U20</f>
        <v>#DIV/0!</v>
      </c>
      <c r="W21" s="257" t="e">
        <f>+U21-V21</f>
        <v>#DIV/0!</v>
      </c>
      <c r="X21" s="36" t="s">
        <v>289</v>
      </c>
      <c r="Z21" s="282">
        <f t="shared" si="2"/>
        <v>43631</v>
      </c>
      <c r="AA21" s="318"/>
      <c r="AB21" s="281"/>
      <c r="AC21" s="33" t="s">
        <v>153</v>
      </c>
    </row>
    <row r="22" spans="1:29">
      <c r="A22" s="215"/>
      <c r="H22" s="214" t="s">
        <v>227</v>
      </c>
      <c r="I22" s="188" t="s">
        <v>4</v>
      </c>
      <c r="J22" s="242" t="s">
        <v>111</v>
      </c>
      <c r="K22" s="192"/>
      <c r="L22" s="193">
        <v>0</v>
      </c>
      <c r="M22" s="192">
        <v>11</v>
      </c>
      <c r="N22" s="193">
        <f>+M22*3</f>
        <v>33</v>
      </c>
      <c r="O22" s="192">
        <v>1</v>
      </c>
      <c r="P22" s="193">
        <f t="shared" si="0"/>
        <v>6</v>
      </c>
      <c r="Q22" s="221"/>
      <c r="R22" s="193">
        <f t="shared" si="1"/>
        <v>39</v>
      </c>
      <c r="S22" s="197"/>
      <c r="T22" s="5"/>
      <c r="U22" s="32">
        <f>+U20-U21</f>
        <v>-720</v>
      </c>
      <c r="V22" s="47"/>
      <c r="W22" s="33"/>
      <c r="X22" s="262" t="s">
        <v>59</v>
      </c>
      <c r="Z22" s="282">
        <f t="shared" si="2"/>
        <v>43632</v>
      </c>
      <c r="AA22" s="318"/>
      <c r="AB22" s="281"/>
      <c r="AC22" s="33" t="s">
        <v>154</v>
      </c>
    </row>
    <row r="23" spans="1:29" ht="15.75">
      <c r="A23" s="215"/>
      <c r="H23" s="142"/>
      <c r="I23" s="25" t="s">
        <v>9</v>
      </c>
      <c r="J23" s="81" t="s">
        <v>128</v>
      </c>
      <c r="K23" s="228"/>
      <c r="L23" s="227">
        <v>0</v>
      </c>
      <c r="M23" s="164"/>
      <c r="N23" s="163">
        <v>0</v>
      </c>
      <c r="O23" s="28">
        <v>31</v>
      </c>
      <c r="P23" s="75">
        <f t="shared" si="0"/>
        <v>150</v>
      </c>
      <c r="Q23" s="218"/>
      <c r="R23" s="321">
        <f t="shared" si="1"/>
        <v>150</v>
      </c>
      <c r="S23" s="107"/>
      <c r="T23" s="5"/>
      <c r="U23" s="34">
        <v>150</v>
      </c>
      <c r="V23" s="38">
        <f>+U23-U22</f>
        <v>870</v>
      </c>
      <c r="W23" s="39" t="s">
        <v>63</v>
      </c>
      <c r="X23" s="263">
        <f>150-V23</f>
        <v>-720</v>
      </c>
      <c r="Z23" s="282">
        <f t="shared" si="2"/>
        <v>43633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164"/>
      <c r="N24" s="163">
        <v>0</v>
      </c>
      <c r="O24" s="28">
        <v>31</v>
      </c>
      <c r="P24" s="11">
        <f t="shared" si="0"/>
        <v>150</v>
      </c>
      <c r="Q24" s="218"/>
      <c r="R24" s="240">
        <f t="shared" si="1"/>
        <v>150</v>
      </c>
      <c r="S24" s="241"/>
      <c r="T24" s="5"/>
      <c r="U24" s="10"/>
      <c r="X24" s="37"/>
      <c r="Z24" s="282">
        <f t="shared" si="2"/>
        <v>43634</v>
      </c>
      <c r="AA24" s="318"/>
      <c r="AB24" s="281"/>
      <c r="AC24" s="61"/>
    </row>
    <row r="25" spans="1:29">
      <c r="A25" s="237"/>
      <c r="B25" s="237"/>
      <c r="C25" s="237"/>
      <c r="D25" s="238"/>
      <c r="E25" s="237"/>
      <c r="F25" s="239"/>
      <c r="G25" s="237"/>
      <c r="H25" s="142"/>
      <c r="I25" s="25" t="s">
        <v>51</v>
      </c>
      <c r="J25" s="96" t="s">
        <v>134</v>
      </c>
      <c r="K25" s="29"/>
      <c r="L25" s="27">
        <f>+K25*3</f>
        <v>0</v>
      </c>
      <c r="M25" s="164"/>
      <c r="N25" s="163">
        <f>+M25*3</f>
        <v>0</v>
      </c>
      <c r="O25" s="28">
        <v>35</v>
      </c>
      <c r="P25" s="11">
        <f t="shared" si="0"/>
        <v>150</v>
      </c>
      <c r="Q25" s="218"/>
      <c r="R25" s="240">
        <f t="shared" si="1"/>
        <v>150</v>
      </c>
      <c r="S25" s="241"/>
      <c r="T25" s="5"/>
      <c r="U25" s="258"/>
      <c r="V25" s="259">
        <v>95.06</v>
      </c>
      <c r="W25" s="260">
        <v>636.14</v>
      </c>
      <c r="X25" s="100"/>
      <c r="Y25" s="266"/>
      <c r="Z25" s="282">
        <f t="shared" si="2"/>
        <v>43635</v>
      </c>
      <c r="AA25" s="318"/>
      <c r="AB25" s="281"/>
      <c r="AC25" s="61"/>
    </row>
    <row r="26" spans="1:29">
      <c r="A26" s="215"/>
      <c r="H26" s="83"/>
      <c r="I26" s="126" t="s">
        <v>61</v>
      </c>
      <c r="J26" s="80" t="s">
        <v>137</v>
      </c>
      <c r="K26" s="226"/>
      <c r="L26" s="227">
        <f>3*K26</f>
        <v>0</v>
      </c>
      <c r="M26" s="162">
        <v>11</v>
      </c>
      <c r="N26" s="163">
        <f>3*M26</f>
        <v>33</v>
      </c>
      <c r="O26" s="72"/>
      <c r="P26" s="75">
        <f t="shared" si="0"/>
        <v>0</v>
      </c>
      <c r="Q26" s="217"/>
      <c r="R26" s="11">
        <f t="shared" si="1"/>
        <v>33</v>
      </c>
      <c r="S26" s="106"/>
      <c r="T26" s="5"/>
      <c r="U26" s="261">
        <v>720</v>
      </c>
      <c r="V26" s="256" t="e">
        <f>+V25*U26/U25</f>
        <v>#DIV/0!</v>
      </c>
      <c r="W26" s="257" t="e">
        <f>+U26-V26</f>
        <v>#DIV/0!</v>
      </c>
      <c r="X26" s="36" t="s">
        <v>289</v>
      </c>
      <c r="Z26" s="282">
        <f t="shared" si="2"/>
        <v>43636</v>
      </c>
      <c r="AA26" s="318"/>
      <c r="AB26" s="281"/>
      <c r="AC26" s="65"/>
    </row>
    <row r="27" spans="1:29">
      <c r="A27" s="215"/>
      <c r="H27" s="83"/>
      <c r="I27" s="25" t="s">
        <v>14</v>
      </c>
      <c r="J27" s="96" t="s">
        <v>125</v>
      </c>
      <c r="K27" s="228"/>
      <c r="L27" s="227">
        <f>+K27*3</f>
        <v>0</v>
      </c>
      <c r="M27" s="164">
        <v>11</v>
      </c>
      <c r="N27" s="163">
        <f>3*M27</f>
        <v>33</v>
      </c>
      <c r="O27" s="74">
        <v>1</v>
      </c>
      <c r="P27" s="75">
        <f t="shared" si="0"/>
        <v>6</v>
      </c>
      <c r="Q27" s="218"/>
      <c r="R27" s="320">
        <f t="shared" si="1"/>
        <v>39</v>
      </c>
      <c r="S27" s="107"/>
      <c r="T27" s="5"/>
      <c r="U27" s="32">
        <f>+U25-U26</f>
        <v>-720</v>
      </c>
      <c r="V27" s="47"/>
      <c r="W27" s="33"/>
      <c r="X27" s="262" t="s">
        <v>59</v>
      </c>
      <c r="Z27" s="282">
        <f t="shared" si="2"/>
        <v>43637</v>
      </c>
      <c r="AA27" s="319"/>
      <c r="AB27" s="281"/>
      <c r="AC27" s="66"/>
    </row>
    <row r="28" spans="1:29">
      <c r="A28" s="215"/>
      <c r="H28" s="83"/>
      <c r="I28" s="126" t="s">
        <v>79</v>
      </c>
      <c r="J28" s="82" t="s">
        <v>110</v>
      </c>
      <c r="K28" s="228"/>
      <c r="L28" s="227">
        <v>0</v>
      </c>
      <c r="M28" s="164"/>
      <c r="N28" s="163">
        <v>0</v>
      </c>
      <c r="O28" s="76">
        <v>25</v>
      </c>
      <c r="P28" s="75">
        <f t="shared" si="0"/>
        <v>150</v>
      </c>
      <c r="Q28" s="217"/>
      <c r="R28" s="11">
        <f t="shared" si="1"/>
        <v>150</v>
      </c>
      <c r="S28" s="106"/>
      <c r="T28" s="5"/>
      <c r="U28" s="34">
        <v>150</v>
      </c>
      <c r="V28" s="38">
        <f>+U28-U27</f>
        <v>870</v>
      </c>
      <c r="W28" s="39" t="s">
        <v>63</v>
      </c>
      <c r="X28" s="263">
        <f>150-V28</f>
        <v>-720</v>
      </c>
      <c r="Z28" s="314" t="s">
        <v>150</v>
      </c>
      <c r="AA28" s="315">
        <f>SUM(AA17:AA27)</f>
        <v>3</v>
      </c>
      <c r="AB28" s="316" t="s">
        <v>148</v>
      </c>
      <c r="AC28" s="68"/>
    </row>
    <row r="29" spans="1:29">
      <c r="H29" s="83"/>
      <c r="I29" s="269" t="s">
        <v>214</v>
      </c>
      <c r="J29" s="270" t="s">
        <v>215</v>
      </c>
      <c r="K29" s="271"/>
      <c r="L29" s="272">
        <v>0</v>
      </c>
      <c r="M29" s="271"/>
      <c r="N29" s="272">
        <f>3*M29</f>
        <v>0</v>
      </c>
      <c r="O29" s="271">
        <v>32</v>
      </c>
      <c r="P29" s="272">
        <f t="shared" si="0"/>
        <v>150</v>
      </c>
      <c r="Q29" s="273"/>
      <c r="R29" s="272">
        <f t="shared" si="1"/>
        <v>150</v>
      </c>
      <c r="S29" s="274"/>
      <c r="T29" s="5"/>
      <c r="U29" s="10"/>
      <c r="X29" s="37"/>
      <c r="Z29" s="184"/>
      <c r="AA29" s="171">
        <f>SUM(AB17:AB27)</f>
        <v>11</v>
      </c>
      <c r="AB29" s="185" t="s">
        <v>149</v>
      </c>
      <c r="AC29" s="69"/>
    </row>
    <row r="30" spans="1:29" ht="16.5">
      <c r="A30" s="237"/>
      <c r="B30" s="237"/>
      <c r="C30" s="237"/>
      <c r="D30" s="238"/>
      <c r="E30" s="237"/>
      <c r="F30" s="239"/>
      <c r="G30" s="237"/>
      <c r="H30" s="142"/>
      <c r="I30" s="25" t="s">
        <v>45</v>
      </c>
      <c r="J30" s="96" t="s">
        <v>133</v>
      </c>
      <c r="K30" s="29"/>
      <c r="L30" s="27">
        <f>+K30*3</f>
        <v>0</v>
      </c>
      <c r="M30" s="164"/>
      <c r="N30" s="163">
        <f>+M30*3</f>
        <v>0</v>
      </c>
      <c r="O30" s="28">
        <v>36</v>
      </c>
      <c r="P30" s="11">
        <f t="shared" si="0"/>
        <v>150</v>
      </c>
      <c r="Q30" s="218"/>
      <c r="R30" s="240">
        <f t="shared" si="1"/>
        <v>150</v>
      </c>
      <c r="S30" s="241"/>
      <c r="T30" s="5"/>
      <c r="U30" s="258"/>
      <c r="V30" s="259">
        <v>87.41</v>
      </c>
      <c r="W30" s="260">
        <v>657.79</v>
      </c>
      <c r="X30" s="100"/>
      <c r="Y30" s="266"/>
      <c r="Z30" s="186" t="s">
        <v>160</v>
      </c>
      <c r="AA30" s="284">
        <f>+AA29/AA28</f>
        <v>3.6666666666666665</v>
      </c>
      <c r="AB30" s="173" t="s">
        <v>150</v>
      </c>
      <c r="AC30" s="65"/>
    </row>
    <row r="31" spans="1:29">
      <c r="A31" s="215"/>
      <c r="H31" s="142"/>
      <c r="I31" s="25" t="s">
        <v>13</v>
      </c>
      <c r="J31" s="81" t="s">
        <v>121</v>
      </c>
      <c r="K31" s="228"/>
      <c r="L31" s="227">
        <f>3*K31</f>
        <v>0</v>
      </c>
      <c r="M31" s="164"/>
      <c r="N31" s="163">
        <v>0</v>
      </c>
      <c r="O31" s="28">
        <v>40</v>
      </c>
      <c r="P31" s="75">
        <f t="shared" si="0"/>
        <v>150</v>
      </c>
      <c r="Q31" s="218"/>
      <c r="R31" s="57">
        <f t="shared" si="1"/>
        <v>150</v>
      </c>
      <c r="S31" s="107"/>
      <c r="T31" s="5"/>
      <c r="U31" s="261">
        <v>720</v>
      </c>
      <c r="V31" s="256" t="e">
        <f>+V30*U31/U30</f>
        <v>#DIV/0!</v>
      </c>
      <c r="W31" s="257" t="e">
        <f>+U31-V31</f>
        <v>#DIV/0!</v>
      </c>
      <c r="X31" s="36" t="s">
        <v>289</v>
      </c>
    </row>
    <row r="32" spans="1:29">
      <c r="A32" s="215"/>
      <c r="H32" s="95"/>
      <c r="I32" s="25" t="s">
        <v>31</v>
      </c>
      <c r="J32" s="81" t="s">
        <v>127</v>
      </c>
      <c r="K32" s="228"/>
      <c r="L32" s="227">
        <v>0</v>
      </c>
      <c r="M32" s="164"/>
      <c r="N32" s="163">
        <v>0</v>
      </c>
      <c r="O32" s="28">
        <v>31</v>
      </c>
      <c r="P32" s="75">
        <f t="shared" si="0"/>
        <v>150</v>
      </c>
      <c r="Q32" s="218"/>
      <c r="R32" s="11">
        <f t="shared" si="1"/>
        <v>150</v>
      </c>
      <c r="S32" s="107"/>
      <c r="T32" s="5"/>
      <c r="U32" s="32">
        <f>+U30-U31</f>
        <v>-720</v>
      </c>
      <c r="V32" s="47"/>
      <c r="W32" s="33"/>
      <c r="X32" s="262" t="s">
        <v>59</v>
      </c>
    </row>
    <row r="33" spans="1:32">
      <c r="A33" s="215"/>
      <c r="H33" s="95"/>
      <c r="I33" s="25" t="s">
        <v>30</v>
      </c>
      <c r="J33" s="81" t="s">
        <v>126</v>
      </c>
      <c r="K33" s="228"/>
      <c r="L33" s="227">
        <f>+K33*3</f>
        <v>0</v>
      </c>
      <c r="M33" s="164"/>
      <c r="N33" s="163">
        <f>+M33*3</f>
        <v>0</v>
      </c>
      <c r="O33" s="28"/>
      <c r="P33" s="75">
        <f t="shared" si="0"/>
        <v>0</v>
      </c>
      <c r="Q33" s="218"/>
      <c r="R33" s="320">
        <f t="shared" si="1"/>
        <v>0</v>
      </c>
      <c r="S33" s="107"/>
      <c r="T33" s="5"/>
      <c r="U33" s="34">
        <v>150</v>
      </c>
      <c r="V33" s="38">
        <f>+U33-U32</f>
        <v>870</v>
      </c>
      <c r="W33" s="39" t="s">
        <v>63</v>
      </c>
      <c r="X33" s="263">
        <f>150-V33</f>
        <v>-720</v>
      </c>
    </row>
    <row r="34" spans="1:32" s="4" customFormat="1">
      <c r="A34" s="215"/>
      <c r="B34"/>
      <c r="C34"/>
      <c r="D34" s="1"/>
      <c r="E34"/>
      <c r="F34" s="2"/>
      <c r="G34"/>
      <c r="H34" s="83"/>
      <c r="I34" s="269" t="s">
        <v>186</v>
      </c>
      <c r="J34" s="270" t="s">
        <v>187</v>
      </c>
      <c r="K34" s="271"/>
      <c r="L34" s="272">
        <v>0</v>
      </c>
      <c r="M34" s="271">
        <v>8</v>
      </c>
      <c r="N34" s="272">
        <v>0</v>
      </c>
      <c r="O34" s="271">
        <v>1</v>
      </c>
      <c r="P34" s="272">
        <f t="shared" si="0"/>
        <v>6</v>
      </c>
      <c r="Q34" s="273"/>
      <c r="R34" s="272">
        <f t="shared" si="1"/>
        <v>6</v>
      </c>
      <c r="S34" s="274"/>
      <c r="T34" s="5"/>
      <c r="U34" s="58"/>
      <c r="V34" s="59"/>
      <c r="W34" s="60"/>
      <c r="X34" s="61"/>
      <c r="Y34"/>
      <c r="Z34"/>
      <c r="AA34"/>
      <c r="AB34"/>
      <c r="AC34"/>
      <c r="AD34"/>
      <c r="AE34"/>
      <c r="AF34"/>
    </row>
    <row r="35" spans="1:32">
      <c r="A35" s="215"/>
      <c r="H35" s="83"/>
      <c r="I35" s="25" t="s">
        <v>17</v>
      </c>
      <c r="J35" s="81" t="s">
        <v>123</v>
      </c>
      <c r="K35" s="228"/>
      <c r="L35" s="227">
        <f>+K35*3</f>
        <v>0</v>
      </c>
      <c r="M35" s="164"/>
      <c r="N35" s="163">
        <v>0</v>
      </c>
      <c r="O35" s="74">
        <v>32</v>
      </c>
      <c r="P35" s="75">
        <f t="shared" si="0"/>
        <v>150</v>
      </c>
      <c r="Q35" s="218"/>
      <c r="R35" s="11">
        <f t="shared" si="1"/>
        <v>150</v>
      </c>
      <c r="S35" s="107"/>
      <c r="T35" s="5"/>
      <c r="U35" s="287" t="s">
        <v>288</v>
      </c>
    </row>
    <row r="36" spans="1:32">
      <c r="A36" s="215"/>
      <c r="H36" s="83"/>
      <c r="I36" s="25" t="s">
        <v>60</v>
      </c>
      <c r="J36" s="81" t="s">
        <v>132</v>
      </c>
      <c r="K36" s="228"/>
      <c r="L36" s="227">
        <v>0</v>
      </c>
      <c r="M36" s="164"/>
      <c r="N36" s="163">
        <v>0</v>
      </c>
      <c r="O36" s="74"/>
      <c r="P36" s="75">
        <f>IF(O36&gt;25,150,(O36)*6)</f>
        <v>0</v>
      </c>
      <c r="Q36" s="218"/>
      <c r="R36" s="11">
        <f>+L36+N36+P36+Q36</f>
        <v>0</v>
      </c>
      <c r="S36" s="107"/>
      <c r="T36" s="5"/>
    </row>
    <row r="37" spans="1:32">
      <c r="H37" s="142"/>
      <c r="I37" s="25" t="s">
        <v>233</v>
      </c>
      <c r="J37" s="81" t="s">
        <v>234</v>
      </c>
      <c r="K37" s="228"/>
      <c r="L37" s="227">
        <v>0</v>
      </c>
      <c r="M37" s="164">
        <v>10</v>
      </c>
      <c r="N37" s="163">
        <v>0</v>
      </c>
      <c r="O37" s="28"/>
      <c r="P37" s="75">
        <f t="shared" si="0"/>
        <v>0</v>
      </c>
      <c r="Q37" s="218"/>
      <c r="R37" s="57">
        <f t="shared" si="1"/>
        <v>0</v>
      </c>
      <c r="S37" s="107"/>
      <c r="T37" s="5"/>
    </row>
    <row r="38" spans="1:32">
      <c r="A38" s="215"/>
      <c r="H38" s="142"/>
      <c r="I38" s="25" t="s">
        <v>8</v>
      </c>
      <c r="J38" s="81" t="s">
        <v>120</v>
      </c>
      <c r="K38" s="228"/>
      <c r="L38" s="227">
        <v>0</v>
      </c>
      <c r="M38" s="164"/>
      <c r="N38" s="163">
        <v>0</v>
      </c>
      <c r="O38" s="28">
        <v>40</v>
      </c>
      <c r="P38" s="75">
        <f t="shared" si="0"/>
        <v>150</v>
      </c>
      <c r="Q38" s="218"/>
      <c r="R38" s="57">
        <f t="shared" si="1"/>
        <v>150</v>
      </c>
      <c r="S38" s="107"/>
      <c r="T38" s="5"/>
      <c r="AF38" s="4"/>
    </row>
    <row r="39" spans="1:32">
      <c r="A39" s="215"/>
      <c r="H39" s="83"/>
      <c r="I39" s="25" t="s">
        <v>11</v>
      </c>
      <c r="J39" s="96" t="s">
        <v>130</v>
      </c>
      <c r="K39" s="228"/>
      <c r="L39" s="227">
        <f>+K39*3</f>
        <v>0</v>
      </c>
      <c r="M39" s="164"/>
      <c r="N39" s="163">
        <f>+M39*3</f>
        <v>0</v>
      </c>
      <c r="O39" s="74"/>
      <c r="P39" s="75">
        <f t="shared" si="0"/>
        <v>0</v>
      </c>
      <c r="Q39" s="220"/>
      <c r="R39" s="11">
        <f t="shared" si="1"/>
        <v>0</v>
      </c>
      <c r="S39" s="107"/>
      <c r="T39" s="5"/>
    </row>
    <row r="40" spans="1:32">
      <c r="H40" s="83"/>
      <c r="I40" s="25" t="s">
        <v>44</v>
      </c>
      <c r="J40" s="96" t="s">
        <v>124</v>
      </c>
      <c r="K40" s="228"/>
      <c r="L40" s="227">
        <f>+K40*3</f>
        <v>0</v>
      </c>
      <c r="M40" s="164"/>
      <c r="N40" s="163">
        <f>+M40*3</f>
        <v>0</v>
      </c>
      <c r="O40" s="113"/>
      <c r="P40" s="75">
        <f t="shared" si="0"/>
        <v>0</v>
      </c>
      <c r="Q40" s="218"/>
      <c r="R40" s="11">
        <f t="shared" si="1"/>
        <v>0</v>
      </c>
      <c r="S40" s="107"/>
      <c r="T40" s="5"/>
    </row>
    <row r="41" spans="1:32">
      <c r="H41" s="83"/>
      <c r="I41" s="25" t="s">
        <v>6</v>
      </c>
      <c r="J41" s="96" t="s">
        <v>116</v>
      </c>
      <c r="K41" s="228"/>
      <c r="L41" s="227">
        <f>+K41*3</f>
        <v>0</v>
      </c>
      <c r="M41" s="164"/>
      <c r="N41" s="163">
        <f>+M41*3</f>
        <v>0</v>
      </c>
      <c r="O41" s="74">
        <v>26</v>
      </c>
      <c r="P41" s="75">
        <f t="shared" si="0"/>
        <v>150</v>
      </c>
      <c r="Q41" s="220"/>
      <c r="R41" s="11">
        <f t="shared" si="1"/>
        <v>150</v>
      </c>
      <c r="S41" s="107"/>
      <c r="T41" s="5"/>
    </row>
    <row r="42" spans="1:32">
      <c r="H42" s="95"/>
      <c r="I42" s="25" t="s">
        <v>53</v>
      </c>
      <c r="J42" s="81" t="s">
        <v>135</v>
      </c>
      <c r="K42" s="228"/>
      <c r="L42" s="227">
        <v>0</v>
      </c>
      <c r="M42" s="164"/>
      <c r="N42" s="163">
        <v>0</v>
      </c>
      <c r="O42" s="28"/>
      <c r="P42" s="75">
        <f t="shared" si="0"/>
        <v>0</v>
      </c>
      <c r="Q42" s="218"/>
      <c r="R42" s="11">
        <f t="shared" si="1"/>
        <v>0</v>
      </c>
      <c r="S42" s="107"/>
      <c r="T42" s="5"/>
    </row>
    <row r="43" spans="1:32">
      <c r="H43" s="81"/>
      <c r="I43" s="120" t="s">
        <v>12</v>
      </c>
      <c r="J43" s="150" t="s">
        <v>114</v>
      </c>
      <c r="K43" s="232"/>
      <c r="L43" s="233">
        <v>0</v>
      </c>
      <c r="M43" s="165"/>
      <c r="N43" s="166">
        <f>2.85*M43</f>
        <v>0</v>
      </c>
      <c r="O43" s="122">
        <v>31</v>
      </c>
      <c r="P43" s="147">
        <f t="shared" si="0"/>
        <v>150</v>
      </c>
      <c r="Q43" s="222"/>
      <c r="R43" s="322">
        <f t="shared" si="1"/>
        <v>150</v>
      </c>
      <c r="S43" s="148"/>
      <c r="T43" s="5"/>
    </row>
    <row r="44" spans="1:32">
      <c r="I44" s="13"/>
      <c r="J44" s="14"/>
      <c r="K44" s="234">
        <f t="shared" ref="K44:S44" si="3">SUM(K5:K43)</f>
        <v>0</v>
      </c>
      <c r="L44" s="235">
        <f t="shared" si="3"/>
        <v>0</v>
      </c>
      <c r="M44" s="167">
        <f t="shared" si="3"/>
        <v>75</v>
      </c>
      <c r="N44" s="168">
        <f t="shared" si="3"/>
        <v>99</v>
      </c>
      <c r="O44" s="77">
        <f t="shared" si="3"/>
        <v>676</v>
      </c>
      <c r="P44" s="78">
        <f t="shared" si="3"/>
        <v>3030</v>
      </c>
      <c r="Q44" s="223">
        <f t="shared" si="3"/>
        <v>0</v>
      </c>
      <c r="R44" s="78">
        <f t="shared" si="3"/>
        <v>3129</v>
      </c>
      <c r="S44" s="102">
        <f t="shared" si="3"/>
        <v>0</v>
      </c>
      <c r="T44" s="5"/>
    </row>
    <row r="45" spans="1:32">
      <c r="J45" s="200">
        <f ca="1">TODAY()</f>
        <v>43825</v>
      </c>
      <c r="K45" s="41"/>
      <c r="M45" s="42"/>
      <c r="N45" s="41"/>
      <c r="O45" s="45" t="s">
        <v>81</v>
      </c>
      <c r="Q45" s="42"/>
      <c r="R45" s="45">
        <f>+R14+R15+R21+R22</f>
        <v>189</v>
      </c>
      <c r="T45" s="5"/>
    </row>
    <row r="46" spans="1:32">
      <c r="L46" s="43"/>
      <c r="M46" s="44"/>
      <c r="N46" s="125"/>
      <c r="O46" s="43" t="s">
        <v>91</v>
      </c>
      <c r="P46" s="114"/>
      <c r="Q46" s="110" t="s">
        <v>58</v>
      </c>
      <c r="R46" s="111">
        <f>+R44-R45</f>
        <v>2940</v>
      </c>
      <c r="S46" s="109"/>
      <c r="T46" s="5"/>
      <c r="AC46">
        <v>4</v>
      </c>
    </row>
    <row r="47" spans="1:32" ht="3.95" customHeight="1">
      <c r="P47" s="1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I48" s="254" t="s">
        <v>259</v>
      </c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255" t="s">
        <v>260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254" t="s">
        <v>261</v>
      </c>
      <c r="P50" s="19"/>
      <c r="T50" s="5"/>
    </row>
    <row r="51" spans="9:29">
      <c r="I51" s="254" t="s">
        <v>262</v>
      </c>
      <c r="P51" s="19"/>
      <c r="T51" s="5"/>
    </row>
    <row r="52" spans="9:29">
      <c r="I52" s="254" t="s">
        <v>263</v>
      </c>
      <c r="P52" s="19"/>
      <c r="U52" s="58"/>
      <c r="V52" s="59"/>
      <c r="W52" s="60"/>
      <c r="X52" s="61"/>
    </row>
    <row r="53" spans="9:29">
      <c r="I53" s="254" t="s">
        <v>264</v>
      </c>
      <c r="U53" s="58"/>
      <c r="V53" s="66"/>
      <c r="W53" s="67"/>
      <c r="X53" s="63"/>
    </row>
    <row r="54" spans="9:29" ht="3.95" customHeight="1">
      <c r="I54" s="254" t="s">
        <v>265</v>
      </c>
      <c r="P54" s="19"/>
      <c r="U54" s="64"/>
      <c r="V54" s="59"/>
      <c r="W54" s="60"/>
      <c r="X54" s="66"/>
    </row>
    <row r="55" spans="9:29">
      <c r="U55" s="58"/>
      <c r="V55" s="59"/>
      <c r="W55" s="60"/>
      <c r="X55" s="65"/>
    </row>
    <row r="56" spans="9:29">
      <c r="U56" s="58"/>
      <c r="V56" s="59"/>
      <c r="W56" s="60"/>
      <c r="X56" s="65"/>
    </row>
    <row r="57" spans="9:29">
      <c r="U57" s="58"/>
      <c r="V57" s="59"/>
      <c r="W57" s="60"/>
      <c r="X57" s="61"/>
    </row>
    <row r="58" spans="9:29">
      <c r="U58" s="58"/>
      <c r="V58" s="59"/>
      <c r="W58" s="60"/>
      <c r="X58" s="61"/>
    </row>
    <row r="59" spans="9:29">
      <c r="U59" s="58"/>
      <c r="V59" s="59"/>
      <c r="W59" s="62"/>
      <c r="X59" s="65"/>
    </row>
    <row r="60" spans="9:29">
      <c r="U60" s="58"/>
      <c r="V60" s="59"/>
      <c r="W60" s="67"/>
      <c r="X60" s="60"/>
    </row>
    <row r="61" spans="9:29">
      <c r="U61" s="58"/>
      <c r="V61" s="59"/>
      <c r="W61" s="60"/>
      <c r="X61" s="60"/>
    </row>
    <row r="62" spans="9:29">
      <c r="U62" s="58"/>
      <c r="V62" s="59"/>
      <c r="W62" s="60"/>
      <c r="X62" s="68"/>
    </row>
    <row r="63" spans="9:29">
      <c r="U63" s="58"/>
      <c r="V63" s="59"/>
      <c r="W63" s="60"/>
      <c r="X63" s="69"/>
    </row>
    <row r="64" spans="9:29">
      <c r="U64" s="58"/>
      <c r="V64" s="59"/>
      <c r="W64" s="60"/>
      <c r="X64" s="60"/>
    </row>
    <row r="65" spans="21:24">
      <c r="U65" s="58"/>
      <c r="V65" s="59"/>
      <c r="W65" s="60"/>
      <c r="X65" s="60"/>
    </row>
    <row r="66" spans="21:24">
      <c r="U66" s="58"/>
      <c r="V66" s="59"/>
      <c r="W66" s="62"/>
      <c r="X66" s="60"/>
    </row>
    <row r="67" spans="21:24">
      <c r="U67" s="58"/>
      <c r="V67" s="59"/>
      <c r="W67" s="62"/>
      <c r="X67" s="60"/>
    </row>
    <row r="68" spans="21:24">
      <c r="U68" s="64"/>
      <c r="V68" s="59"/>
      <c r="W68" s="60"/>
      <c r="X68" s="60"/>
    </row>
    <row r="69" spans="21:24">
      <c r="U69" s="58"/>
      <c r="V69" s="66"/>
      <c r="W69" s="67"/>
      <c r="X69" s="60"/>
    </row>
    <row r="70" spans="21:24">
      <c r="U70" s="60"/>
      <c r="V70" s="59"/>
      <c r="W70" s="60"/>
    </row>
    <row r="71" spans="21:24">
      <c r="U71" s="60"/>
      <c r="V71" s="59"/>
      <c r="W71" s="60"/>
    </row>
    <row r="72" spans="21:24">
      <c r="U72" s="60"/>
      <c r="V72" s="59"/>
      <c r="W72" s="60"/>
    </row>
    <row r="73" spans="21:24">
      <c r="U73" s="60"/>
      <c r="V73" s="59"/>
      <c r="W73" s="60"/>
    </row>
    <row r="74" spans="21:24">
      <c r="U74" s="60"/>
      <c r="V74" s="59"/>
      <c r="W74" s="60"/>
    </row>
    <row r="75" spans="21:24">
      <c r="U75" s="60"/>
      <c r="V75" s="59"/>
      <c r="W75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60" priority="2" operator="lessThanOrEqual">
      <formula>0</formula>
    </cfRule>
  </conditionalFormatting>
  <conditionalFormatting sqref="R5:R43">
    <cfRule type="cellIs" dxfId="59" priority="1" operator="greaterThan">
      <formula>0</formula>
    </cfRule>
  </conditionalFormatting>
  <printOptions horizontalCentered="1"/>
  <pageMargins left="0" right="0" top="0.6692913385826772" bottom="0" header="0" footer="0"/>
  <pageSetup paperSize="9" scale="10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75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R7" sqref="R7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.7109375" customWidth="1"/>
    <col min="9" max="9" width="7.42578125" customWidth="1"/>
    <col min="10" max="10" width="28.5703125" customWidth="1"/>
    <col min="11" max="11" width="1.7109375" customWidth="1"/>
    <col min="12" max="12" width="1.5703125" customWidth="1"/>
    <col min="13" max="13" width="5.7109375" customWidth="1"/>
    <col min="14" max="14" width="7.7109375" customWidth="1"/>
    <col min="15" max="15" width="6.140625" customWidth="1"/>
    <col min="16" max="16" width="11.42578125" customWidth="1"/>
    <col min="17" max="17" width="6.42578125" customWidth="1"/>
    <col min="18" max="18" width="13.85546875" customWidth="1"/>
    <col min="19" max="19" width="2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>
      <c r="H2" s="83"/>
      <c r="I2" s="439" t="s">
        <v>274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v>43613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285" t="s">
        <v>281</v>
      </c>
      <c r="O4" s="87" t="s">
        <v>15</v>
      </c>
      <c r="P4" s="87" t="s">
        <v>280</v>
      </c>
      <c r="Q4" s="99" t="s">
        <v>279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v>0</v>
      </c>
      <c r="O5" s="76"/>
      <c r="P5" s="75">
        <f t="shared" ref="P5:P43" si="0">IF(O5&gt;25,150,(O5)*6)</f>
        <v>0</v>
      </c>
      <c r="Q5" s="217"/>
      <c r="R5" s="11">
        <f t="shared" ref="R5:R43" si="1">+L5+N5+P5+Q5</f>
        <v>0</v>
      </c>
      <c r="S5" s="106"/>
      <c r="T5" s="5"/>
      <c r="U5" s="258">
        <v>759.2</v>
      </c>
      <c r="V5" s="259">
        <v>98.7</v>
      </c>
      <c r="W5" s="260">
        <v>660.5</v>
      </c>
      <c r="X5" s="242" t="s">
        <v>282</v>
      </c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261">
        <v>720</v>
      </c>
      <c r="V6" s="256">
        <f>+V5*U6/U5</f>
        <v>93.603793466807161</v>
      </c>
      <c r="W6" s="257">
        <f>+U6-V6</f>
        <v>626.39620653319287</v>
      </c>
      <c r="X6" s="36" t="s">
        <v>289</v>
      </c>
    </row>
    <row r="7" spans="8:29">
      <c r="H7" s="83"/>
      <c r="I7" s="288" t="s">
        <v>64</v>
      </c>
      <c r="J7" s="297" t="s">
        <v>138</v>
      </c>
      <c r="K7" s="290"/>
      <c r="L7" s="291">
        <f>+K7*3</f>
        <v>0</v>
      </c>
      <c r="M7" s="292"/>
      <c r="N7" s="293">
        <v>0</v>
      </c>
      <c r="O7" s="294">
        <v>43</v>
      </c>
      <c r="P7" s="295">
        <f t="shared" si="0"/>
        <v>150</v>
      </c>
      <c r="Q7" s="296"/>
      <c r="R7" s="308">
        <f t="shared" si="1"/>
        <v>150</v>
      </c>
      <c r="S7" s="106"/>
      <c r="T7" s="5"/>
      <c r="U7" s="32">
        <f>+U5-U6</f>
        <v>39.200000000000045</v>
      </c>
      <c r="V7" s="47"/>
      <c r="W7" s="33"/>
      <c r="X7" s="262" t="s">
        <v>59</v>
      </c>
      <c r="AA7">
        <v>220</v>
      </c>
    </row>
    <row r="8" spans="8:29">
      <c r="H8" s="83"/>
      <c r="I8" s="288" t="s">
        <v>2</v>
      </c>
      <c r="J8" s="289" t="s">
        <v>107</v>
      </c>
      <c r="K8" s="290"/>
      <c r="L8" s="291">
        <f>+K8*3</f>
        <v>0</v>
      </c>
      <c r="M8" s="292"/>
      <c r="N8" s="293">
        <f>+M8*3</f>
        <v>0</v>
      </c>
      <c r="O8" s="294">
        <v>42</v>
      </c>
      <c r="P8" s="295">
        <f t="shared" si="0"/>
        <v>150</v>
      </c>
      <c r="Q8" s="296"/>
      <c r="R8" s="308">
        <f t="shared" si="1"/>
        <v>150</v>
      </c>
      <c r="S8" s="138"/>
      <c r="T8" s="5"/>
      <c r="U8" s="34">
        <v>150</v>
      </c>
      <c r="V8" s="38">
        <f>+U8-U7</f>
        <v>110.79999999999995</v>
      </c>
      <c r="W8" s="39" t="s">
        <v>63</v>
      </c>
      <c r="X8" s="263">
        <f>150-V8</f>
        <v>39.200000000000045</v>
      </c>
      <c r="AA8">
        <v>220</v>
      </c>
    </row>
    <row r="9" spans="8:29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/>
      <c r="P9" s="75">
        <f t="shared" si="0"/>
        <v>0</v>
      </c>
      <c r="Q9" s="218"/>
      <c r="R9" s="11">
        <f t="shared" si="1"/>
        <v>0</v>
      </c>
      <c r="S9" s="107"/>
      <c r="T9" s="5"/>
      <c r="U9" s="10"/>
      <c r="X9" s="37"/>
      <c r="AA9">
        <v>140</v>
      </c>
    </row>
    <row r="10" spans="8:29" ht="15" customHeight="1">
      <c r="H10" s="95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28"/>
      <c r="P10" s="75">
        <f t="shared" si="0"/>
        <v>0</v>
      </c>
      <c r="Q10" s="218"/>
      <c r="R10" s="11">
        <f t="shared" si="1"/>
        <v>0</v>
      </c>
      <c r="S10" s="197"/>
      <c r="T10" s="5"/>
      <c r="U10" s="258">
        <v>787.2</v>
      </c>
      <c r="V10" s="259">
        <v>101.95</v>
      </c>
      <c r="W10" s="260">
        <v>685.25</v>
      </c>
      <c r="X10" s="286" t="s">
        <v>283</v>
      </c>
      <c r="Y10" s="266"/>
      <c r="AA10">
        <v>40</v>
      </c>
    </row>
    <row r="11" spans="8:29">
      <c r="H11" s="141"/>
      <c r="I11" s="126" t="s">
        <v>56</v>
      </c>
      <c r="J11" s="80" t="s">
        <v>136</v>
      </c>
      <c r="K11" s="226"/>
      <c r="L11" s="227">
        <v>0</v>
      </c>
      <c r="M11" s="162"/>
      <c r="N11" s="163">
        <f>2.7*M11</f>
        <v>0</v>
      </c>
      <c r="O11" s="74">
        <v>40</v>
      </c>
      <c r="P11" s="75">
        <f t="shared" si="0"/>
        <v>150</v>
      </c>
      <c r="Q11" s="217"/>
      <c r="R11" s="9">
        <f t="shared" si="1"/>
        <v>150</v>
      </c>
      <c r="S11" s="107"/>
      <c r="T11" s="5"/>
      <c r="U11" s="261">
        <v>720</v>
      </c>
      <c r="V11" s="256">
        <f>+V10*U11/U10</f>
        <v>93.246951219512184</v>
      </c>
      <c r="W11" s="257">
        <f>+U11-V11</f>
        <v>626.7530487804878</v>
      </c>
      <c r="X11" s="36" t="s">
        <v>289</v>
      </c>
      <c r="AA11">
        <v>55</v>
      </c>
    </row>
    <row r="12" spans="8:29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>
        <v>27</v>
      </c>
      <c r="P12" s="75">
        <f t="shared" si="0"/>
        <v>150</v>
      </c>
      <c r="Q12" s="218"/>
      <c r="R12" s="9">
        <f t="shared" si="1"/>
        <v>150</v>
      </c>
      <c r="S12" s="106"/>
      <c r="T12" s="5"/>
      <c r="U12" s="32">
        <f>+U10-U11</f>
        <v>67.200000000000045</v>
      </c>
      <c r="V12" s="47"/>
      <c r="W12" s="33"/>
      <c r="X12" s="262" t="s">
        <v>59</v>
      </c>
      <c r="AA12">
        <v>80</v>
      </c>
    </row>
    <row r="13" spans="8:29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82.799999999999955</v>
      </c>
      <c r="W13" s="39" t="s">
        <v>63</v>
      </c>
      <c r="X13" s="263">
        <f>150-V13</f>
        <v>67.200000000000045</v>
      </c>
      <c r="AA13">
        <v>70</v>
      </c>
    </row>
    <row r="14" spans="8:29">
      <c r="H14" s="214" t="s">
        <v>170</v>
      </c>
      <c r="I14" s="188" t="s">
        <v>20</v>
      </c>
      <c r="J14" s="242" t="s">
        <v>195</v>
      </c>
      <c r="K14" s="192"/>
      <c r="L14" s="193">
        <f>+K14*3</f>
        <v>0</v>
      </c>
      <c r="M14" s="192"/>
      <c r="N14" s="193">
        <f>+M14*3</f>
        <v>0</v>
      </c>
      <c r="O14" s="192">
        <v>37</v>
      </c>
      <c r="P14" s="193">
        <f t="shared" si="0"/>
        <v>150</v>
      </c>
      <c r="Q14" s="221"/>
      <c r="R14" s="193">
        <f t="shared" si="1"/>
        <v>150</v>
      </c>
      <c r="S14" s="197"/>
      <c r="T14" s="5"/>
      <c r="U14" s="10"/>
      <c r="X14" s="37"/>
      <c r="AA14">
        <f>SUM(AA7:AA13)</f>
        <v>825</v>
      </c>
    </row>
    <row r="15" spans="8:29">
      <c r="H15" s="251" t="s">
        <v>50</v>
      </c>
      <c r="I15" s="275" t="s">
        <v>272</v>
      </c>
      <c r="J15" s="276" t="s">
        <v>271</v>
      </c>
      <c r="K15" s="277"/>
      <c r="L15" s="278">
        <v>0</v>
      </c>
      <c r="M15" s="277"/>
      <c r="N15" s="278">
        <v>0</v>
      </c>
      <c r="O15" s="277"/>
      <c r="P15" s="278">
        <f t="shared" si="0"/>
        <v>0</v>
      </c>
      <c r="Q15" s="279"/>
      <c r="R15" s="278">
        <f t="shared" si="1"/>
        <v>0</v>
      </c>
      <c r="S15" s="280"/>
      <c r="T15" s="5"/>
      <c r="U15" s="258">
        <v>745.2</v>
      </c>
      <c r="V15" s="259">
        <v>96.5</v>
      </c>
      <c r="W15" s="260">
        <v>648.70000000000005</v>
      </c>
      <c r="X15" s="100" t="s">
        <v>284</v>
      </c>
      <c r="Y15" s="266"/>
      <c r="Z15" s="103" t="s">
        <v>161</v>
      </c>
      <c r="AA15" s="46"/>
    </row>
    <row r="16" spans="8:29">
      <c r="H16" s="95"/>
      <c r="I16" s="25" t="s">
        <v>25</v>
      </c>
      <c r="J16" s="81" t="s">
        <v>118</v>
      </c>
      <c r="K16" s="228"/>
      <c r="L16" s="227">
        <f>+K16*3</f>
        <v>0</v>
      </c>
      <c r="M16" s="164"/>
      <c r="N16" s="163">
        <f>+M16*3</f>
        <v>0</v>
      </c>
      <c r="O16" s="28"/>
      <c r="P16" s="75">
        <f t="shared" si="0"/>
        <v>0</v>
      </c>
      <c r="Q16" s="218"/>
      <c r="R16" s="11">
        <f t="shared" si="1"/>
        <v>0</v>
      </c>
      <c r="S16" s="107"/>
      <c r="T16" s="5"/>
      <c r="U16" s="261">
        <v>720</v>
      </c>
      <c r="V16" s="256">
        <f>+V15*U16/U15</f>
        <v>93.236714975845402</v>
      </c>
      <c r="W16" s="257">
        <f>+U16-V16</f>
        <v>626.76328502415458</v>
      </c>
      <c r="X16" s="36" t="s">
        <v>289</v>
      </c>
      <c r="Z16" s="176" t="s">
        <v>158</v>
      </c>
      <c r="AA16" s="177" t="s">
        <v>159</v>
      </c>
      <c r="AB16" s="178"/>
      <c r="AC16" s="174" t="s">
        <v>157</v>
      </c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164"/>
      <c r="N17" s="163">
        <f>+M17*3</f>
        <v>0</v>
      </c>
      <c r="O17" s="28">
        <v>35</v>
      </c>
      <c r="P17" s="75">
        <f t="shared" si="0"/>
        <v>150</v>
      </c>
      <c r="Q17" s="218"/>
      <c r="R17" s="11">
        <f t="shared" si="1"/>
        <v>150</v>
      </c>
      <c r="S17" s="107"/>
      <c r="T17" s="5"/>
      <c r="U17" s="32">
        <f>+U15-U16</f>
        <v>25.200000000000045</v>
      </c>
      <c r="V17" s="47"/>
      <c r="W17" s="33"/>
      <c r="X17" s="262" t="s">
        <v>59</v>
      </c>
      <c r="Z17" s="176" t="s">
        <v>158</v>
      </c>
      <c r="AA17" s="177" t="s">
        <v>159</v>
      </c>
      <c r="AB17" s="178" t="s">
        <v>277</v>
      </c>
      <c r="AC17" s="174" t="s">
        <v>157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162"/>
      <c r="N18" s="163">
        <f>5*M18</f>
        <v>0</v>
      </c>
      <c r="O18" s="76">
        <v>37</v>
      </c>
      <c r="P18" s="75">
        <f t="shared" si="0"/>
        <v>150</v>
      </c>
      <c r="Q18" s="217"/>
      <c r="R18" s="11">
        <f t="shared" si="1"/>
        <v>150</v>
      </c>
      <c r="S18" s="106"/>
      <c r="T18" s="5"/>
      <c r="U18" s="34">
        <v>150</v>
      </c>
      <c r="V18" s="38">
        <f>+U18-U17</f>
        <v>124.79999999999995</v>
      </c>
      <c r="W18" s="39" t="s">
        <v>63</v>
      </c>
      <c r="X18" s="263">
        <f>150-V18</f>
        <v>25.200000000000045</v>
      </c>
      <c r="Z18" s="282">
        <v>43607</v>
      </c>
      <c r="AA18" s="170">
        <v>0.5</v>
      </c>
      <c r="AB18" s="281">
        <v>3</v>
      </c>
      <c r="AC18" s="33" t="s">
        <v>156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164"/>
      <c r="N19" s="163">
        <f>+M19*3</f>
        <v>0</v>
      </c>
      <c r="O19" s="74"/>
      <c r="P19" s="75">
        <f t="shared" si="0"/>
        <v>0</v>
      </c>
      <c r="Q19" s="217"/>
      <c r="R19" s="9">
        <f t="shared" si="1"/>
        <v>0</v>
      </c>
      <c r="S19" s="107"/>
      <c r="T19" s="5"/>
      <c r="U19" s="10"/>
      <c r="X19" s="37"/>
      <c r="Z19" s="282">
        <f>1+Z18</f>
        <v>43608</v>
      </c>
      <c r="AA19" s="170">
        <v>1</v>
      </c>
      <c r="AB19" s="281">
        <v>4</v>
      </c>
      <c r="AC19" s="33" t="s">
        <v>151</v>
      </c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164"/>
      <c r="N20" s="163">
        <v>0</v>
      </c>
      <c r="O20" s="74"/>
      <c r="P20" s="75">
        <f t="shared" si="0"/>
        <v>0</v>
      </c>
      <c r="Q20" s="217"/>
      <c r="R20" s="9">
        <f t="shared" si="1"/>
        <v>0</v>
      </c>
      <c r="S20" s="107"/>
      <c r="T20" s="5"/>
      <c r="U20" s="258">
        <v>745.2</v>
      </c>
      <c r="V20" s="259">
        <v>96.88</v>
      </c>
      <c r="W20" s="260">
        <v>648.32000000000005</v>
      </c>
      <c r="X20" s="100" t="s">
        <v>285</v>
      </c>
      <c r="Y20" s="266"/>
      <c r="Z20" s="282">
        <f t="shared" ref="Z20:Z28" si="2">1+Z19</f>
        <v>43609</v>
      </c>
      <c r="AA20" s="170">
        <v>1</v>
      </c>
      <c r="AB20" s="281">
        <v>5</v>
      </c>
      <c r="AC20" s="33" t="s">
        <v>152</v>
      </c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277"/>
      <c r="N21" s="278">
        <v>0</v>
      </c>
      <c r="O21" s="277"/>
      <c r="P21" s="278">
        <f t="shared" si="0"/>
        <v>0</v>
      </c>
      <c r="Q21" s="279"/>
      <c r="R21" s="278">
        <f t="shared" si="1"/>
        <v>0</v>
      </c>
      <c r="S21" s="280"/>
      <c r="T21" s="5"/>
      <c r="U21" s="261">
        <v>720</v>
      </c>
      <c r="V21" s="256">
        <f>+V20*U21/U20</f>
        <v>93.603864734299506</v>
      </c>
      <c r="W21" s="257">
        <f>+U21-V21</f>
        <v>626.39613526570054</v>
      </c>
      <c r="X21" s="36" t="s">
        <v>289</v>
      </c>
      <c r="Z21" s="282">
        <f t="shared" si="2"/>
        <v>43610</v>
      </c>
      <c r="AA21" s="170">
        <v>1</v>
      </c>
      <c r="AB21" s="281">
        <v>3</v>
      </c>
      <c r="AC21" s="33" t="s">
        <v>153</v>
      </c>
    </row>
    <row r="22" spans="1:29">
      <c r="A22" s="215"/>
      <c r="H22" s="214" t="s">
        <v>170</v>
      </c>
      <c r="I22" s="188" t="s">
        <v>4</v>
      </c>
      <c r="J22" s="242" t="s">
        <v>111</v>
      </c>
      <c r="K22" s="192"/>
      <c r="L22" s="193">
        <v>0</v>
      </c>
      <c r="M22" s="192"/>
      <c r="N22" s="193">
        <v>0</v>
      </c>
      <c r="O22" s="192">
        <v>37</v>
      </c>
      <c r="P22" s="193">
        <f t="shared" si="0"/>
        <v>150</v>
      </c>
      <c r="Q22" s="221"/>
      <c r="R22" s="193">
        <f t="shared" si="1"/>
        <v>150</v>
      </c>
      <c r="S22" s="197"/>
      <c r="T22" s="5"/>
      <c r="U22" s="32">
        <f>+U20-U21</f>
        <v>25.200000000000045</v>
      </c>
      <c r="V22" s="47"/>
      <c r="W22" s="33"/>
      <c r="X22" s="262" t="s">
        <v>59</v>
      </c>
      <c r="Z22" s="282">
        <f t="shared" si="2"/>
        <v>43611</v>
      </c>
      <c r="AA22" s="170">
        <v>1</v>
      </c>
      <c r="AB22" s="281">
        <v>7</v>
      </c>
      <c r="AC22" s="33" t="s">
        <v>154</v>
      </c>
    </row>
    <row r="23" spans="1:29" ht="15.75">
      <c r="A23" s="215"/>
      <c r="H23" s="142"/>
      <c r="I23" s="288" t="s">
        <v>9</v>
      </c>
      <c r="J23" s="289" t="s">
        <v>128</v>
      </c>
      <c r="K23" s="290"/>
      <c r="L23" s="291">
        <v>0</v>
      </c>
      <c r="M23" s="292"/>
      <c r="N23" s="293">
        <v>0</v>
      </c>
      <c r="O23" s="298">
        <v>42</v>
      </c>
      <c r="P23" s="295">
        <f t="shared" si="0"/>
        <v>150</v>
      </c>
      <c r="Q23" s="296"/>
      <c r="R23" s="309">
        <f t="shared" si="1"/>
        <v>150</v>
      </c>
      <c r="S23" s="107"/>
      <c r="T23" s="5"/>
      <c r="U23" s="34">
        <v>150</v>
      </c>
      <c r="V23" s="38">
        <f>+U23-U22</f>
        <v>124.79999999999995</v>
      </c>
      <c r="W23" s="39" t="s">
        <v>63</v>
      </c>
      <c r="X23" s="263">
        <f>150-V23</f>
        <v>25.200000000000045</v>
      </c>
      <c r="Z23" s="282">
        <f t="shared" si="2"/>
        <v>43612</v>
      </c>
      <c r="AA23" s="170">
        <v>1</v>
      </c>
      <c r="AB23" s="281">
        <v>3</v>
      </c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164"/>
      <c r="N24" s="163">
        <v>0</v>
      </c>
      <c r="O24" s="28">
        <v>33</v>
      </c>
      <c r="P24" s="11">
        <f t="shared" si="0"/>
        <v>150</v>
      </c>
      <c r="Q24" s="218"/>
      <c r="R24" s="240">
        <f t="shared" si="1"/>
        <v>150</v>
      </c>
      <c r="S24" s="241"/>
      <c r="T24" s="5"/>
      <c r="U24" s="10"/>
      <c r="X24" s="37"/>
      <c r="Z24" s="282">
        <f t="shared" si="2"/>
        <v>43613</v>
      </c>
      <c r="AA24" s="170">
        <v>1</v>
      </c>
      <c r="AB24" s="281">
        <v>2</v>
      </c>
      <c r="AC24" s="61"/>
    </row>
    <row r="25" spans="1:29">
      <c r="A25" s="237"/>
      <c r="B25" s="237"/>
      <c r="C25" s="237"/>
      <c r="D25" s="238"/>
      <c r="E25" s="237"/>
      <c r="F25" s="239"/>
      <c r="G25" s="237"/>
      <c r="H25" s="142"/>
      <c r="I25" s="25" t="s">
        <v>51</v>
      </c>
      <c r="J25" s="96" t="s">
        <v>134</v>
      </c>
      <c r="K25" s="29"/>
      <c r="L25" s="27">
        <f>+K25*3</f>
        <v>0</v>
      </c>
      <c r="M25" s="164"/>
      <c r="N25" s="163">
        <f>+M25*3</f>
        <v>0</v>
      </c>
      <c r="O25" s="28">
        <v>37</v>
      </c>
      <c r="P25" s="11">
        <f t="shared" si="0"/>
        <v>150</v>
      </c>
      <c r="Q25" s="218"/>
      <c r="R25" s="240">
        <f t="shared" si="1"/>
        <v>150</v>
      </c>
      <c r="S25" s="241"/>
      <c r="T25" s="5"/>
      <c r="U25" s="258">
        <v>731.2</v>
      </c>
      <c r="V25" s="259">
        <v>95.06</v>
      </c>
      <c r="W25" s="260">
        <v>636.14</v>
      </c>
      <c r="X25" s="100" t="s">
        <v>286</v>
      </c>
      <c r="Y25" s="266"/>
      <c r="Z25" s="282">
        <f t="shared" si="2"/>
        <v>43614</v>
      </c>
      <c r="AA25" s="170">
        <v>1</v>
      </c>
      <c r="AB25" s="281">
        <v>4</v>
      </c>
      <c r="AC25" s="61"/>
    </row>
    <row r="26" spans="1:29">
      <c r="A26" s="215"/>
      <c r="H26" s="83"/>
      <c r="I26" s="126" t="s">
        <v>61</v>
      </c>
      <c r="J26" s="80" t="s">
        <v>137</v>
      </c>
      <c r="K26" s="226"/>
      <c r="L26" s="227">
        <f>3*K26</f>
        <v>0</v>
      </c>
      <c r="M26" s="162"/>
      <c r="N26" s="163">
        <f>3*M26</f>
        <v>0</v>
      </c>
      <c r="O26" s="72"/>
      <c r="P26" s="75">
        <f t="shared" si="0"/>
        <v>0</v>
      </c>
      <c r="Q26" s="217"/>
      <c r="R26" s="11">
        <f t="shared" si="1"/>
        <v>0</v>
      </c>
      <c r="S26" s="106"/>
      <c r="T26" s="5"/>
      <c r="U26" s="261">
        <v>720</v>
      </c>
      <c r="V26" s="256">
        <f>+V25*U26/U25</f>
        <v>93.603938730853386</v>
      </c>
      <c r="W26" s="257">
        <f>+U26-V26</f>
        <v>626.39606126914657</v>
      </c>
      <c r="X26" s="36" t="s">
        <v>289</v>
      </c>
      <c r="Z26" s="282">
        <f t="shared" si="2"/>
        <v>43615</v>
      </c>
      <c r="AA26" s="170">
        <v>1</v>
      </c>
      <c r="AB26" s="281">
        <v>5</v>
      </c>
      <c r="AC26" s="65"/>
    </row>
    <row r="27" spans="1:29">
      <c r="A27" s="215"/>
      <c r="H27" s="83"/>
      <c r="I27" s="288" t="s">
        <v>14</v>
      </c>
      <c r="J27" s="297" t="s">
        <v>125</v>
      </c>
      <c r="K27" s="290"/>
      <c r="L27" s="291">
        <f>+K27*3</f>
        <v>0</v>
      </c>
      <c r="M27" s="292"/>
      <c r="N27" s="293">
        <v>0</v>
      </c>
      <c r="O27" s="294">
        <v>45</v>
      </c>
      <c r="P27" s="295">
        <f t="shared" si="0"/>
        <v>150</v>
      </c>
      <c r="Q27" s="296"/>
      <c r="R27" s="308">
        <f t="shared" si="1"/>
        <v>150</v>
      </c>
      <c r="S27" s="107"/>
      <c r="T27" s="5"/>
      <c r="U27" s="32">
        <f>+U25-U26</f>
        <v>11.200000000000045</v>
      </c>
      <c r="V27" s="47"/>
      <c r="W27" s="33"/>
      <c r="X27" s="262" t="s">
        <v>59</v>
      </c>
      <c r="Z27" s="282">
        <f t="shared" si="2"/>
        <v>43616</v>
      </c>
      <c r="AA27" s="170">
        <v>1</v>
      </c>
      <c r="AB27" s="281">
        <v>3</v>
      </c>
      <c r="AC27" s="66"/>
    </row>
    <row r="28" spans="1:29">
      <c r="A28" s="215"/>
      <c r="H28" s="83"/>
      <c r="I28" s="126" t="s">
        <v>79</v>
      </c>
      <c r="J28" s="82" t="s">
        <v>110</v>
      </c>
      <c r="K28" s="228"/>
      <c r="L28" s="227">
        <v>0</v>
      </c>
      <c r="M28" s="164"/>
      <c r="N28" s="163">
        <v>0</v>
      </c>
      <c r="O28" s="76">
        <v>33</v>
      </c>
      <c r="P28" s="75">
        <f t="shared" si="0"/>
        <v>150</v>
      </c>
      <c r="Q28" s="217"/>
      <c r="R28" s="11">
        <f t="shared" si="1"/>
        <v>150</v>
      </c>
      <c r="S28" s="106"/>
      <c r="T28" s="5"/>
      <c r="U28" s="34">
        <v>150</v>
      </c>
      <c r="V28" s="38">
        <f>+U28-U27</f>
        <v>138.79999999999995</v>
      </c>
      <c r="W28" s="39" t="s">
        <v>63</v>
      </c>
      <c r="X28" s="263">
        <f>150-V28</f>
        <v>11.200000000000045</v>
      </c>
      <c r="Z28" s="282">
        <f t="shared" si="2"/>
        <v>43617</v>
      </c>
      <c r="AA28" s="170">
        <v>0.5</v>
      </c>
      <c r="AB28" s="281">
        <v>3</v>
      </c>
      <c r="AC28" s="68"/>
    </row>
    <row r="29" spans="1:29">
      <c r="H29" s="83"/>
      <c r="I29" s="269" t="s">
        <v>214</v>
      </c>
      <c r="J29" s="270" t="s">
        <v>215</v>
      </c>
      <c r="K29" s="271"/>
      <c r="L29" s="272">
        <v>0</v>
      </c>
      <c r="M29" s="271"/>
      <c r="N29" s="272">
        <f>3*M29</f>
        <v>0</v>
      </c>
      <c r="O29" s="271">
        <v>1</v>
      </c>
      <c r="P29" s="272">
        <f t="shared" si="0"/>
        <v>6</v>
      </c>
      <c r="Q29" s="273"/>
      <c r="R29" s="272">
        <f t="shared" si="1"/>
        <v>6</v>
      </c>
      <c r="S29" s="274"/>
      <c r="T29" s="5"/>
      <c r="U29" s="10"/>
      <c r="X29" s="37"/>
      <c r="Z29" s="184"/>
      <c r="AA29" s="283">
        <f>SUM(AA18:AA28)</f>
        <v>10</v>
      </c>
      <c r="AB29" s="183" t="s">
        <v>148</v>
      </c>
      <c r="AC29" s="69"/>
    </row>
    <row r="30" spans="1:29">
      <c r="A30" s="237"/>
      <c r="B30" s="237"/>
      <c r="C30" s="237"/>
      <c r="D30" s="238"/>
      <c r="E30" s="237"/>
      <c r="F30" s="239"/>
      <c r="G30" s="237"/>
      <c r="H30" s="142"/>
      <c r="I30" s="25" t="s">
        <v>45</v>
      </c>
      <c r="J30" s="96" t="s">
        <v>133</v>
      </c>
      <c r="K30" s="29"/>
      <c r="L30" s="27">
        <f>+K30*3</f>
        <v>0</v>
      </c>
      <c r="M30" s="164"/>
      <c r="N30" s="163">
        <f>+M30*3</f>
        <v>0</v>
      </c>
      <c r="O30" s="28">
        <v>30</v>
      </c>
      <c r="P30" s="11">
        <f t="shared" si="0"/>
        <v>150</v>
      </c>
      <c r="Q30" s="218"/>
      <c r="R30" s="240">
        <f t="shared" si="1"/>
        <v>150</v>
      </c>
      <c r="S30" s="241"/>
      <c r="T30" s="5"/>
      <c r="U30" s="258">
        <v>745.2</v>
      </c>
      <c r="V30" s="259">
        <v>87.41</v>
      </c>
      <c r="W30" s="260">
        <v>657.79</v>
      </c>
      <c r="X30" s="100" t="s">
        <v>287</v>
      </c>
      <c r="Y30" s="266"/>
      <c r="Z30" s="184"/>
      <c r="AA30" s="171">
        <f>SUM(AB18:AB28)</f>
        <v>42</v>
      </c>
      <c r="AB30" s="185" t="s">
        <v>149</v>
      </c>
      <c r="AC30" s="65"/>
    </row>
    <row r="31" spans="1:29" ht="16.5">
      <c r="A31" s="215"/>
      <c r="H31" s="142"/>
      <c r="I31" s="25" t="s">
        <v>13</v>
      </c>
      <c r="J31" s="81" t="s">
        <v>121</v>
      </c>
      <c r="K31" s="228"/>
      <c r="L31" s="227">
        <f>3*K31</f>
        <v>0</v>
      </c>
      <c r="M31" s="164"/>
      <c r="N31" s="163">
        <v>0</v>
      </c>
      <c r="O31" s="28"/>
      <c r="P31" s="75">
        <f t="shared" si="0"/>
        <v>0</v>
      </c>
      <c r="Q31" s="218"/>
      <c r="R31" s="57">
        <f t="shared" si="1"/>
        <v>0</v>
      </c>
      <c r="S31" s="107"/>
      <c r="T31" s="5"/>
      <c r="U31" s="261">
        <v>720</v>
      </c>
      <c r="V31" s="256">
        <f>+V30*U31/U30</f>
        <v>84.45410628019323</v>
      </c>
      <c r="W31" s="257">
        <f>+U31-V31</f>
        <v>635.54589371980683</v>
      </c>
      <c r="X31" s="36" t="s">
        <v>289</v>
      </c>
      <c r="Z31" s="186" t="s">
        <v>160</v>
      </c>
      <c r="AA31" s="284">
        <f>+AA30/AA29</f>
        <v>4.2</v>
      </c>
      <c r="AB31" s="173" t="s">
        <v>150</v>
      </c>
    </row>
    <row r="32" spans="1:29">
      <c r="A32" s="215"/>
      <c r="H32" s="95"/>
      <c r="I32" s="25" t="s">
        <v>31</v>
      </c>
      <c r="J32" s="81" t="s">
        <v>127</v>
      </c>
      <c r="K32" s="228"/>
      <c r="L32" s="227">
        <v>0</v>
      </c>
      <c r="M32" s="164"/>
      <c r="N32" s="163">
        <v>0</v>
      </c>
      <c r="O32" s="28"/>
      <c r="P32" s="75">
        <f t="shared" si="0"/>
        <v>0</v>
      </c>
      <c r="Q32" s="218"/>
      <c r="R32" s="11">
        <f t="shared" si="1"/>
        <v>0</v>
      </c>
      <c r="S32" s="107"/>
      <c r="T32" s="5"/>
      <c r="U32" s="32">
        <f>+U30-U31</f>
        <v>25.200000000000045</v>
      </c>
      <c r="V32" s="47"/>
      <c r="W32" s="33"/>
      <c r="X32" s="262" t="s">
        <v>59</v>
      </c>
    </row>
    <row r="33" spans="1:32">
      <c r="A33" s="215"/>
      <c r="H33" s="95"/>
      <c r="I33" s="288" t="s">
        <v>30</v>
      </c>
      <c r="J33" s="289" t="s">
        <v>126</v>
      </c>
      <c r="K33" s="290"/>
      <c r="L33" s="291">
        <f>+K33*3</f>
        <v>0</v>
      </c>
      <c r="M33" s="292"/>
      <c r="N33" s="293">
        <f>+M33*3</f>
        <v>0</v>
      </c>
      <c r="O33" s="298">
        <v>42</v>
      </c>
      <c r="P33" s="295">
        <f t="shared" si="0"/>
        <v>150</v>
      </c>
      <c r="Q33" s="296"/>
      <c r="R33" s="308">
        <f t="shared" si="1"/>
        <v>150</v>
      </c>
      <c r="S33" s="107"/>
      <c r="T33" s="5"/>
      <c r="U33" s="34">
        <v>150</v>
      </c>
      <c r="V33" s="38">
        <f>+U33-U32</f>
        <v>124.79999999999995</v>
      </c>
      <c r="W33" s="39" t="s">
        <v>63</v>
      </c>
      <c r="X33" s="263">
        <f>150-V33</f>
        <v>25.200000000000045</v>
      </c>
    </row>
    <row r="34" spans="1:32" s="4" customFormat="1">
      <c r="A34" s="215"/>
      <c r="B34"/>
      <c r="C34"/>
      <c r="D34" s="1"/>
      <c r="E34"/>
      <c r="F34" s="2"/>
      <c r="G34"/>
      <c r="H34" s="83"/>
      <c r="I34" s="269" t="s">
        <v>186</v>
      </c>
      <c r="J34" s="270" t="s">
        <v>187</v>
      </c>
      <c r="K34" s="271"/>
      <c r="L34" s="272">
        <v>0</v>
      </c>
      <c r="M34" s="271"/>
      <c r="N34" s="272">
        <v>0</v>
      </c>
      <c r="O34" s="271">
        <v>35</v>
      </c>
      <c r="P34" s="272">
        <f t="shared" si="0"/>
        <v>150</v>
      </c>
      <c r="Q34" s="273"/>
      <c r="R34" s="272">
        <f t="shared" si="1"/>
        <v>150</v>
      </c>
      <c r="S34" s="274"/>
      <c r="T34" s="5"/>
      <c r="U34" s="58"/>
      <c r="V34" s="59"/>
      <c r="W34" s="60"/>
      <c r="X34" s="61"/>
      <c r="Y34"/>
      <c r="Z34"/>
      <c r="AA34"/>
      <c r="AB34"/>
      <c r="AC34"/>
      <c r="AD34"/>
      <c r="AE34"/>
      <c r="AF34"/>
    </row>
    <row r="35" spans="1:32">
      <c r="A35" s="215"/>
      <c r="H35" s="83"/>
      <c r="I35" s="25" t="s">
        <v>17</v>
      </c>
      <c r="J35" s="81" t="s">
        <v>123</v>
      </c>
      <c r="K35" s="228"/>
      <c r="L35" s="227">
        <f>+K35*3</f>
        <v>0</v>
      </c>
      <c r="M35" s="164"/>
      <c r="N35" s="163">
        <v>0</v>
      </c>
      <c r="O35" s="74">
        <v>30</v>
      </c>
      <c r="P35" s="75">
        <f t="shared" si="0"/>
        <v>150</v>
      </c>
      <c r="Q35" s="218"/>
      <c r="R35" s="11">
        <f t="shared" si="1"/>
        <v>150</v>
      </c>
      <c r="S35" s="107"/>
      <c r="T35" s="5"/>
      <c r="U35" s="287" t="s">
        <v>288</v>
      </c>
    </row>
    <row r="36" spans="1:32">
      <c r="A36" s="215"/>
      <c r="H36" s="83"/>
      <c r="I36" s="25" t="s">
        <v>60</v>
      </c>
      <c r="J36" s="81" t="s">
        <v>132</v>
      </c>
      <c r="K36" s="228"/>
      <c r="L36" s="227">
        <v>0</v>
      </c>
      <c r="M36" s="164"/>
      <c r="N36" s="163">
        <v>0</v>
      </c>
      <c r="O36" s="74"/>
      <c r="P36" s="75">
        <f>IF(O36&gt;25,150,(O36)*6)</f>
        <v>0</v>
      </c>
      <c r="Q36" s="218"/>
      <c r="R36" s="11">
        <f>+L36+N36+P36+Q36</f>
        <v>0</v>
      </c>
      <c r="S36" s="107"/>
      <c r="T36" s="5"/>
    </row>
    <row r="37" spans="1:32">
      <c r="H37" s="142"/>
      <c r="I37" s="25" t="s">
        <v>233</v>
      </c>
      <c r="J37" s="81" t="s">
        <v>234</v>
      </c>
      <c r="K37" s="228"/>
      <c r="L37" s="227">
        <v>0</v>
      </c>
      <c r="M37" s="164"/>
      <c r="N37" s="163">
        <v>0</v>
      </c>
      <c r="O37" s="28"/>
      <c r="P37" s="75">
        <f t="shared" si="0"/>
        <v>0</v>
      </c>
      <c r="Q37" s="218"/>
      <c r="R37" s="57">
        <f t="shared" si="1"/>
        <v>0</v>
      </c>
      <c r="S37" s="107"/>
      <c r="T37" s="5"/>
    </row>
    <row r="38" spans="1:32">
      <c r="A38" s="215"/>
      <c r="H38" s="142"/>
      <c r="I38" s="25" t="s">
        <v>8</v>
      </c>
      <c r="J38" s="81" t="s">
        <v>120</v>
      </c>
      <c r="K38" s="228"/>
      <c r="L38" s="227">
        <v>0</v>
      </c>
      <c r="M38" s="164"/>
      <c r="N38" s="163">
        <v>0</v>
      </c>
      <c r="O38" s="28">
        <v>29</v>
      </c>
      <c r="P38" s="75">
        <f t="shared" si="0"/>
        <v>150</v>
      </c>
      <c r="Q38" s="218"/>
      <c r="R38" s="57">
        <f t="shared" si="1"/>
        <v>150</v>
      </c>
      <c r="S38" s="107"/>
      <c r="T38" s="5"/>
      <c r="AF38" s="4"/>
    </row>
    <row r="39" spans="1:32">
      <c r="A39" s="215"/>
      <c r="H39" s="83"/>
      <c r="I39" s="25" t="s">
        <v>11</v>
      </c>
      <c r="J39" s="96" t="s">
        <v>130</v>
      </c>
      <c r="K39" s="228"/>
      <c r="L39" s="227">
        <f>+K39*3</f>
        <v>0</v>
      </c>
      <c r="M39" s="164"/>
      <c r="N39" s="163">
        <f>+M39*3</f>
        <v>0</v>
      </c>
      <c r="O39" s="74">
        <v>2</v>
      </c>
      <c r="P39" s="75">
        <f t="shared" si="0"/>
        <v>12</v>
      </c>
      <c r="Q39" s="220"/>
      <c r="R39" s="11">
        <f t="shared" si="1"/>
        <v>12</v>
      </c>
      <c r="S39" s="107"/>
      <c r="T39" s="5"/>
    </row>
    <row r="40" spans="1:32">
      <c r="H40" s="83"/>
      <c r="I40" s="25" t="s">
        <v>44</v>
      </c>
      <c r="J40" s="96" t="s">
        <v>124</v>
      </c>
      <c r="K40" s="228"/>
      <c r="L40" s="227">
        <f>+K40*3</f>
        <v>0</v>
      </c>
      <c r="M40" s="164"/>
      <c r="N40" s="163">
        <f>+M40*3</f>
        <v>0</v>
      </c>
      <c r="O40" s="113"/>
      <c r="P40" s="75">
        <f t="shared" si="0"/>
        <v>0</v>
      </c>
      <c r="Q40" s="218"/>
      <c r="R40" s="11">
        <f t="shared" si="1"/>
        <v>0</v>
      </c>
      <c r="S40" s="107"/>
      <c r="T40" s="5"/>
    </row>
    <row r="41" spans="1:32">
      <c r="H41" s="83"/>
      <c r="I41" s="25" t="s">
        <v>6</v>
      </c>
      <c r="J41" s="96" t="s">
        <v>116</v>
      </c>
      <c r="K41" s="228"/>
      <c r="L41" s="227">
        <f>+K41*3</f>
        <v>0</v>
      </c>
      <c r="M41" s="164"/>
      <c r="N41" s="163">
        <f>+M41*3</f>
        <v>0</v>
      </c>
      <c r="O41" s="74">
        <v>25</v>
      </c>
      <c r="P41" s="75">
        <f t="shared" si="0"/>
        <v>150</v>
      </c>
      <c r="Q41" s="220"/>
      <c r="R41" s="11">
        <f t="shared" si="1"/>
        <v>150</v>
      </c>
      <c r="S41" s="107"/>
      <c r="T41" s="5"/>
    </row>
    <row r="42" spans="1:32">
      <c r="H42" s="95"/>
      <c r="I42" s="25" t="s">
        <v>53</v>
      </c>
      <c r="J42" s="81" t="s">
        <v>135</v>
      </c>
      <c r="K42" s="228"/>
      <c r="L42" s="227">
        <v>0</v>
      </c>
      <c r="M42" s="164"/>
      <c r="N42" s="163">
        <v>0</v>
      </c>
      <c r="O42" s="28">
        <v>1</v>
      </c>
      <c r="P42" s="75">
        <f t="shared" si="0"/>
        <v>6</v>
      </c>
      <c r="Q42" s="218"/>
      <c r="R42" s="11">
        <f t="shared" si="1"/>
        <v>6</v>
      </c>
      <c r="S42" s="107"/>
      <c r="T42" s="5"/>
    </row>
    <row r="43" spans="1:32">
      <c r="H43" s="81"/>
      <c r="I43" s="299" t="s">
        <v>12</v>
      </c>
      <c r="J43" s="300" t="s">
        <v>114</v>
      </c>
      <c r="K43" s="301"/>
      <c r="L43" s="302">
        <v>0</v>
      </c>
      <c r="M43" s="303"/>
      <c r="N43" s="304">
        <f>2.85*M43</f>
        <v>0</v>
      </c>
      <c r="O43" s="305">
        <v>41</v>
      </c>
      <c r="P43" s="306">
        <f t="shared" si="0"/>
        <v>150</v>
      </c>
      <c r="Q43" s="307"/>
      <c r="R43" s="310">
        <f t="shared" si="1"/>
        <v>150</v>
      </c>
      <c r="S43" s="148"/>
      <c r="T43" s="5"/>
    </row>
    <row r="44" spans="1:32">
      <c r="I44" s="13"/>
      <c r="J44" s="14"/>
      <c r="K44" s="234">
        <f t="shared" ref="K44:S44" si="3">SUM(K5:K43)</f>
        <v>0</v>
      </c>
      <c r="L44" s="235">
        <f t="shared" si="3"/>
        <v>0</v>
      </c>
      <c r="M44" s="167">
        <f t="shared" si="3"/>
        <v>0</v>
      </c>
      <c r="N44" s="168">
        <f t="shared" si="3"/>
        <v>0</v>
      </c>
      <c r="O44" s="77">
        <f t="shared" si="3"/>
        <v>724</v>
      </c>
      <c r="P44" s="78">
        <f t="shared" si="3"/>
        <v>3024</v>
      </c>
      <c r="Q44" s="223">
        <f t="shared" si="3"/>
        <v>0</v>
      </c>
      <c r="R44" s="78">
        <f t="shared" si="3"/>
        <v>3024</v>
      </c>
      <c r="S44" s="102">
        <f t="shared" si="3"/>
        <v>0</v>
      </c>
      <c r="T44" s="5"/>
    </row>
    <row r="45" spans="1:32">
      <c r="J45" s="200">
        <f ca="1">TODAY()</f>
        <v>43825</v>
      </c>
      <c r="K45" s="41"/>
      <c r="M45" s="42"/>
      <c r="N45" s="41"/>
      <c r="O45" s="45" t="s">
        <v>81</v>
      </c>
      <c r="Q45" s="42"/>
      <c r="R45" s="45">
        <f>+R14+R15+R21+R22</f>
        <v>300</v>
      </c>
      <c r="T45" s="5"/>
    </row>
    <row r="46" spans="1:32">
      <c r="L46" s="43"/>
      <c r="M46" s="44"/>
      <c r="N46" s="125"/>
      <c r="O46" s="43" t="s">
        <v>91</v>
      </c>
      <c r="P46" s="114"/>
      <c r="Q46" s="110" t="s">
        <v>58</v>
      </c>
      <c r="R46" s="111">
        <f>+R44-R45</f>
        <v>2724</v>
      </c>
      <c r="S46" s="109"/>
      <c r="T46" s="5"/>
      <c r="AC46">
        <v>4</v>
      </c>
    </row>
    <row r="47" spans="1:32" ht="3.95" customHeight="1">
      <c r="P47" s="1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I48" s="254" t="s">
        <v>259</v>
      </c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255" t="s">
        <v>260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254" t="s">
        <v>261</v>
      </c>
      <c r="P50" s="19"/>
      <c r="T50" s="5"/>
    </row>
    <row r="51" spans="9:29">
      <c r="I51" s="254" t="s">
        <v>262</v>
      </c>
      <c r="P51" s="19"/>
      <c r="T51" s="5"/>
    </row>
    <row r="52" spans="9:29">
      <c r="I52" s="254" t="s">
        <v>263</v>
      </c>
      <c r="P52" s="19"/>
      <c r="U52" s="58"/>
      <c r="V52" s="59"/>
      <c r="W52" s="60"/>
      <c r="X52" s="61"/>
    </row>
    <row r="53" spans="9:29">
      <c r="I53" s="254" t="s">
        <v>264</v>
      </c>
      <c r="U53" s="58"/>
      <c r="V53" s="66"/>
      <c r="W53" s="67"/>
      <c r="X53" s="63"/>
    </row>
    <row r="54" spans="9:29" ht="3.95" customHeight="1">
      <c r="I54" s="254" t="s">
        <v>265</v>
      </c>
      <c r="P54" s="19"/>
      <c r="U54" s="64"/>
      <c r="V54" s="59"/>
      <c r="W54" s="60"/>
      <c r="X54" s="66"/>
    </row>
    <row r="55" spans="9:29">
      <c r="U55" s="58"/>
      <c r="V55" s="59"/>
      <c r="W55" s="60"/>
      <c r="X55" s="65"/>
    </row>
    <row r="56" spans="9:29">
      <c r="U56" s="58"/>
      <c r="V56" s="59"/>
      <c r="W56" s="60"/>
      <c r="X56" s="65"/>
    </row>
    <row r="57" spans="9:29">
      <c r="U57" s="58"/>
      <c r="V57" s="59"/>
      <c r="W57" s="60"/>
      <c r="X57" s="61"/>
    </row>
    <row r="58" spans="9:29">
      <c r="U58" s="58"/>
      <c r="V58" s="59"/>
      <c r="W58" s="60"/>
      <c r="X58" s="61"/>
    </row>
    <row r="59" spans="9:29">
      <c r="U59" s="58"/>
      <c r="V59" s="59"/>
      <c r="W59" s="62"/>
      <c r="X59" s="65"/>
    </row>
    <row r="60" spans="9:29">
      <c r="U60" s="58"/>
      <c r="V60" s="59"/>
      <c r="W60" s="67"/>
      <c r="X60" s="60"/>
    </row>
    <row r="61" spans="9:29">
      <c r="U61" s="58"/>
      <c r="V61" s="59"/>
      <c r="W61" s="60"/>
      <c r="X61" s="60"/>
    </row>
    <row r="62" spans="9:29">
      <c r="U62" s="58"/>
      <c r="V62" s="59"/>
      <c r="W62" s="60"/>
      <c r="X62" s="68"/>
    </row>
    <row r="63" spans="9:29">
      <c r="U63" s="58"/>
      <c r="V63" s="59"/>
      <c r="W63" s="60"/>
      <c r="X63" s="69"/>
    </row>
    <row r="64" spans="9:29">
      <c r="U64" s="58"/>
      <c r="V64" s="59"/>
      <c r="W64" s="60"/>
      <c r="X64" s="60"/>
    </row>
    <row r="65" spans="21:24">
      <c r="U65" s="58"/>
      <c r="V65" s="59"/>
      <c r="W65" s="60"/>
      <c r="X65" s="60"/>
    </row>
    <row r="66" spans="21:24">
      <c r="U66" s="58"/>
      <c r="V66" s="59"/>
      <c r="W66" s="62"/>
      <c r="X66" s="60"/>
    </row>
    <row r="67" spans="21:24">
      <c r="U67" s="58"/>
      <c r="V67" s="59"/>
      <c r="W67" s="62"/>
      <c r="X67" s="60"/>
    </row>
    <row r="68" spans="21:24">
      <c r="U68" s="64"/>
      <c r="V68" s="59"/>
      <c r="W68" s="60"/>
      <c r="X68" s="60"/>
    </row>
    <row r="69" spans="21:24">
      <c r="U69" s="58"/>
      <c r="V69" s="66"/>
      <c r="W69" s="67"/>
      <c r="X69" s="60"/>
    </row>
    <row r="70" spans="21:24">
      <c r="U70" s="60"/>
      <c r="V70" s="59"/>
      <c r="W70" s="60"/>
    </row>
    <row r="71" spans="21:24">
      <c r="U71" s="60"/>
      <c r="V71" s="59"/>
      <c r="W71" s="60"/>
    </row>
    <row r="72" spans="21:24">
      <c r="U72" s="60"/>
      <c r="V72" s="59"/>
      <c r="W72" s="60"/>
    </row>
    <row r="73" spans="21:24">
      <c r="U73" s="60"/>
      <c r="V73" s="59"/>
      <c r="W73" s="60"/>
    </row>
    <row r="74" spans="21:24">
      <c r="U74" s="60"/>
      <c r="V74" s="59"/>
      <c r="W74" s="60"/>
    </row>
    <row r="75" spans="21:24">
      <c r="U75" s="60"/>
      <c r="V75" s="59"/>
      <c r="W75" s="60"/>
    </row>
  </sheetData>
  <mergeCells count="5">
    <mergeCell ref="Z3:AB3"/>
    <mergeCell ref="I2:R2"/>
    <mergeCell ref="K3:N3"/>
    <mergeCell ref="O3:P3"/>
    <mergeCell ref="T3:V3"/>
  </mergeCells>
  <conditionalFormatting sqref="R5">
    <cfRule type="cellIs" dxfId="58" priority="2" operator="lessThanOrEqual">
      <formula>0</formula>
    </cfRule>
  </conditionalFormatting>
  <conditionalFormatting sqref="R5:R43">
    <cfRule type="cellIs" dxfId="57" priority="1" operator="greaterThan">
      <formula>0</formula>
    </cfRule>
  </conditionalFormatting>
  <printOptions horizontalCentered="1" verticalCentered="1"/>
  <pageMargins left="0" right="0" top="0" bottom="0" header="0" footer="0"/>
  <pageSetup paperSize="9" scale="84" orientation="landscape" r:id="rId1"/>
  <ignoredErrors>
    <ignoredError sqref="L18:N2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66"/>
  <sheetViews>
    <sheetView zoomScale="85" zoomScaleNormal="85" workbookViewId="0">
      <pane xSplit="10" ySplit="3" topLeftCell="K4" activePane="bottomRight" state="frozen"/>
      <selection pane="topRight" activeCell="K1" sqref="K1"/>
      <selection pane="bottomLeft" activeCell="A5" sqref="A5"/>
      <selection pane="bottomRight" activeCell="K4" sqref="K4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6.28515625" customWidth="1"/>
    <col min="9" max="9" width="7.42578125" customWidth="1"/>
    <col min="10" max="10" width="28.7109375" customWidth="1"/>
    <col min="11" max="11" width="5.7109375" customWidth="1"/>
    <col min="12" max="12" width="8.28515625" customWidth="1"/>
    <col min="13" max="13" width="5.7109375" customWidth="1"/>
    <col min="14" max="14" width="7.28515625" customWidth="1"/>
    <col min="15" max="15" width="6.7109375" customWidth="1"/>
    <col min="16" max="16" width="9.7109375" customWidth="1"/>
    <col min="17" max="17" width="4.42578125" customWidth="1"/>
    <col min="18" max="18" width="11.5703125" customWidth="1"/>
    <col min="19" max="19" width="8.140625" style="103" bestFit="1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 ht="14.1" customHeight="1">
      <c r="H2" s="83"/>
      <c r="I2" s="429" t="s">
        <v>509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430">
        <f ca="1">+TODAY()</f>
        <v>43825</v>
      </c>
      <c r="U2" s="431"/>
      <c r="V2" s="431"/>
    </row>
    <row r="3" spans="8:29" ht="36.950000000000003" customHeight="1">
      <c r="H3" s="83" t="s">
        <v>143</v>
      </c>
      <c r="I3" s="268" t="s">
        <v>249</v>
      </c>
      <c r="J3" s="267" t="s">
        <v>248</v>
      </c>
      <c r="K3" s="394" t="s">
        <v>15</v>
      </c>
      <c r="L3" s="395" t="s">
        <v>513</v>
      </c>
      <c r="M3" s="198" t="s">
        <v>15</v>
      </c>
      <c r="N3" s="285" t="s">
        <v>512</v>
      </c>
      <c r="O3" s="391" t="s">
        <v>15</v>
      </c>
      <c r="P3" s="392" t="s">
        <v>510</v>
      </c>
      <c r="Q3" s="393" t="s">
        <v>511</v>
      </c>
      <c r="R3" s="88" t="s">
        <v>103</v>
      </c>
      <c r="S3" s="388" t="s">
        <v>507</v>
      </c>
      <c r="T3" s="89"/>
      <c r="U3" s="83"/>
      <c r="V3" s="83"/>
    </row>
    <row r="4" spans="8:29">
      <c r="H4" s="83"/>
      <c r="I4" s="126" t="s">
        <v>5</v>
      </c>
      <c r="J4" s="80" t="s">
        <v>117</v>
      </c>
      <c r="K4" s="396">
        <v>11</v>
      </c>
      <c r="L4" s="397">
        <v>0</v>
      </c>
      <c r="M4" s="162">
        <v>15</v>
      </c>
      <c r="N4" s="163">
        <f>5*M4</f>
        <v>75</v>
      </c>
      <c r="O4" s="76"/>
      <c r="P4" s="75">
        <f t="shared" ref="P4:P42" si="0">IF(O4&gt;25,150,(O4)*6)</f>
        <v>0</v>
      </c>
      <c r="Q4" s="217"/>
      <c r="R4" s="11">
        <f t="shared" ref="R4:R42" si="1">+L4+N4+P4+Q4</f>
        <v>75</v>
      </c>
      <c r="S4" s="106"/>
      <c r="T4" s="5"/>
      <c r="U4" s="258">
        <v>815.2</v>
      </c>
      <c r="V4" s="259">
        <v>94</v>
      </c>
      <c r="W4" s="260">
        <v>721.2</v>
      </c>
      <c r="X4" s="333" t="s">
        <v>215</v>
      </c>
      <c r="Y4" s="266"/>
    </row>
    <row r="5" spans="8:29">
      <c r="H5" s="95"/>
      <c r="I5" s="25" t="s">
        <v>64</v>
      </c>
      <c r="J5" s="81" t="s">
        <v>138</v>
      </c>
      <c r="K5" s="398"/>
      <c r="L5" s="397">
        <f>+K5*3</f>
        <v>0</v>
      </c>
      <c r="M5" s="164"/>
      <c r="N5" s="163">
        <v>0</v>
      </c>
      <c r="O5" s="28">
        <v>24</v>
      </c>
      <c r="P5" s="75">
        <f t="shared" si="0"/>
        <v>144</v>
      </c>
      <c r="Q5" s="218"/>
      <c r="R5" s="11">
        <f t="shared" si="1"/>
        <v>144</v>
      </c>
      <c r="S5" s="107"/>
      <c r="T5" s="5"/>
      <c r="U5" s="326">
        <f>+V5+W5</f>
        <v>813.84359400998335</v>
      </c>
      <c r="V5" s="256">
        <f>+V4*W5/W4</f>
        <v>93.843594009983349</v>
      </c>
      <c r="W5" s="261">
        <v>720</v>
      </c>
      <c r="X5" s="334" t="s">
        <v>381</v>
      </c>
    </row>
    <row r="6" spans="8:29">
      <c r="H6" s="142"/>
      <c r="I6" s="390" t="s">
        <v>387</v>
      </c>
      <c r="J6" s="270" t="s">
        <v>388</v>
      </c>
      <c r="K6" s="398"/>
      <c r="L6" s="397">
        <v>0</v>
      </c>
      <c r="M6" s="164"/>
      <c r="N6" s="163">
        <v>0</v>
      </c>
      <c r="O6" s="271"/>
      <c r="P6" s="272">
        <f t="shared" si="0"/>
        <v>0</v>
      </c>
      <c r="Q6" s="273"/>
      <c r="R6" s="272">
        <f t="shared" si="1"/>
        <v>0</v>
      </c>
      <c r="S6" s="274"/>
      <c r="T6" s="5"/>
      <c r="U6" s="32">
        <f>+U4-U5+0.01</f>
        <v>1.3664059900166967</v>
      </c>
      <c r="V6" s="47"/>
      <c r="W6" s="33"/>
      <c r="X6" s="262" t="s">
        <v>59</v>
      </c>
    </row>
    <row r="7" spans="8:29">
      <c r="H7" s="95"/>
      <c r="I7" s="25" t="s">
        <v>2</v>
      </c>
      <c r="J7" s="81" t="s">
        <v>107</v>
      </c>
      <c r="K7" s="398"/>
      <c r="L7" s="397">
        <f>+K7*3</f>
        <v>0</v>
      </c>
      <c r="M7" s="164"/>
      <c r="N7" s="163">
        <f>+M7*3</f>
        <v>0</v>
      </c>
      <c r="O7" s="28">
        <v>26</v>
      </c>
      <c r="P7" s="75">
        <f t="shared" si="0"/>
        <v>150</v>
      </c>
      <c r="Q7" s="218"/>
      <c r="R7" s="11">
        <f t="shared" si="1"/>
        <v>150</v>
      </c>
      <c r="S7" s="107"/>
      <c r="T7" s="5"/>
      <c r="U7" s="34">
        <v>150</v>
      </c>
      <c r="V7" s="335">
        <f>+U7-U6</f>
        <v>148.63359400998331</v>
      </c>
      <c r="W7" s="39" t="s">
        <v>63</v>
      </c>
      <c r="X7" s="263">
        <f>150-V7</f>
        <v>1.3664059900166876</v>
      </c>
    </row>
    <row r="8" spans="8:29">
      <c r="H8" s="95"/>
      <c r="I8" s="25" t="s">
        <v>42</v>
      </c>
      <c r="J8" s="81" t="s">
        <v>119</v>
      </c>
      <c r="K8" s="398"/>
      <c r="L8" s="397">
        <f>+K8*3</f>
        <v>0</v>
      </c>
      <c r="M8" s="164"/>
      <c r="N8" s="163">
        <f>+M8*3</f>
        <v>0</v>
      </c>
      <c r="O8" s="28">
        <v>18</v>
      </c>
      <c r="P8" s="75">
        <f t="shared" si="0"/>
        <v>108</v>
      </c>
      <c r="Q8" s="374"/>
      <c r="R8" s="11">
        <f t="shared" si="1"/>
        <v>108</v>
      </c>
      <c r="S8" s="107"/>
      <c r="T8" s="5"/>
      <c r="X8" s="37"/>
    </row>
    <row r="9" spans="8:29" ht="15" customHeight="1">
      <c r="H9" s="251" t="s">
        <v>50</v>
      </c>
      <c r="I9" s="275" t="s">
        <v>1</v>
      </c>
      <c r="J9" s="276" t="s">
        <v>106</v>
      </c>
      <c r="K9" s="399"/>
      <c r="L9" s="400">
        <f>3*K9</f>
        <v>0</v>
      </c>
      <c r="M9" s="160"/>
      <c r="N9" s="161">
        <f>3*M9</f>
        <v>0</v>
      </c>
      <c r="O9" s="277"/>
      <c r="P9" s="278">
        <f t="shared" si="0"/>
        <v>0</v>
      </c>
      <c r="Q9" s="279"/>
      <c r="R9" s="278">
        <f t="shared" si="1"/>
        <v>0</v>
      </c>
      <c r="S9" s="280"/>
      <c r="T9" s="5"/>
      <c r="U9" s="258">
        <v>988</v>
      </c>
      <c r="V9" s="259">
        <v>118.76</v>
      </c>
      <c r="W9" s="260">
        <v>869.24</v>
      </c>
      <c r="X9" s="333" t="s">
        <v>349</v>
      </c>
      <c r="Y9" s="266"/>
    </row>
    <row r="10" spans="8:29">
      <c r="H10" s="95"/>
      <c r="I10" s="25" t="s">
        <v>56</v>
      </c>
      <c r="J10" s="81" t="s">
        <v>136</v>
      </c>
      <c r="K10" s="398"/>
      <c r="L10" s="397">
        <v>0</v>
      </c>
      <c r="M10" s="164"/>
      <c r="N10" s="163">
        <f>3*M10</f>
        <v>0</v>
      </c>
      <c r="O10" s="28">
        <v>28</v>
      </c>
      <c r="P10" s="75">
        <f t="shared" si="0"/>
        <v>150</v>
      </c>
      <c r="Q10" s="374"/>
      <c r="R10" s="11">
        <f t="shared" si="1"/>
        <v>150</v>
      </c>
      <c r="S10" s="107"/>
      <c r="T10" s="5"/>
      <c r="U10" s="326">
        <f>+V10+W10</f>
        <v>935.44245547834896</v>
      </c>
      <c r="V10" s="256">
        <f>+V9*W10/W9</f>
        <v>112.44245547834892</v>
      </c>
      <c r="W10" s="261">
        <v>823</v>
      </c>
      <c r="X10" s="334" t="s">
        <v>348</v>
      </c>
    </row>
    <row r="11" spans="8:29">
      <c r="H11" s="95"/>
      <c r="I11" s="25" t="s">
        <v>16</v>
      </c>
      <c r="J11" s="81" t="s">
        <v>113</v>
      </c>
      <c r="K11" s="398"/>
      <c r="L11" s="397">
        <v>0</v>
      </c>
      <c r="M11" s="164"/>
      <c r="N11" s="163">
        <f>3*M11</f>
        <v>0</v>
      </c>
      <c r="O11" s="28"/>
      <c r="P11" s="75">
        <f t="shared" si="0"/>
        <v>0</v>
      </c>
      <c r="Q11" s="374"/>
      <c r="R11" s="11">
        <f t="shared" si="1"/>
        <v>0</v>
      </c>
      <c r="S11" s="107"/>
      <c r="T11" s="5"/>
      <c r="U11" s="32">
        <f>+U9-U10</f>
        <v>52.557544521651039</v>
      </c>
      <c r="V11" s="47"/>
      <c r="W11" s="33"/>
      <c r="X11" s="262" t="s">
        <v>59</v>
      </c>
    </row>
    <row r="12" spans="8:29">
      <c r="H12" s="83"/>
      <c r="I12" s="25" t="s">
        <v>20</v>
      </c>
      <c r="J12" s="81" t="s">
        <v>195</v>
      </c>
      <c r="K12" s="398"/>
      <c r="L12" s="397">
        <f>+K12*3</f>
        <v>0</v>
      </c>
      <c r="M12" s="164"/>
      <c r="N12" s="163">
        <f>+M12*3</f>
        <v>0</v>
      </c>
      <c r="O12" s="74">
        <v>26</v>
      </c>
      <c r="P12" s="75">
        <f t="shared" si="0"/>
        <v>150</v>
      </c>
      <c r="Q12" s="217"/>
      <c r="R12" s="9">
        <f t="shared" si="1"/>
        <v>150</v>
      </c>
      <c r="S12" s="107"/>
      <c r="T12" s="5"/>
      <c r="U12" s="34">
        <v>150</v>
      </c>
      <c r="V12" s="38">
        <f>+U12-U11</f>
        <v>97.442455478348961</v>
      </c>
      <c r="W12" s="39" t="s">
        <v>63</v>
      </c>
      <c r="X12" s="263">
        <f>150-V12</f>
        <v>52.557544521651039</v>
      </c>
    </row>
    <row r="13" spans="8:29">
      <c r="H13" s="83"/>
      <c r="I13" s="25" t="s">
        <v>459</v>
      </c>
      <c r="J13" s="406" t="s">
        <v>460</v>
      </c>
      <c r="K13" s="398"/>
      <c r="L13" s="39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10"/>
      <c r="X13" s="37"/>
    </row>
    <row r="14" spans="8:29">
      <c r="H14" s="251" t="s">
        <v>50</v>
      </c>
      <c r="I14" s="275" t="s">
        <v>272</v>
      </c>
      <c r="J14" s="276" t="s">
        <v>271</v>
      </c>
      <c r="K14" s="399"/>
      <c r="L14" s="400">
        <v>0</v>
      </c>
      <c r="M14" s="160"/>
      <c r="N14" s="161">
        <v>0</v>
      </c>
      <c r="O14" s="277"/>
      <c r="P14" s="278">
        <f t="shared" si="0"/>
        <v>0</v>
      </c>
      <c r="Q14" s="279"/>
      <c r="R14" s="278">
        <f t="shared" si="1"/>
        <v>0</v>
      </c>
      <c r="S14" s="280"/>
      <c r="T14" s="5"/>
      <c r="U14" s="258">
        <v>880</v>
      </c>
      <c r="V14" s="259">
        <v>114.4</v>
      </c>
      <c r="W14" s="327">
        <v>765.6</v>
      </c>
      <c r="X14" s="100"/>
      <c r="Y14" s="266"/>
      <c r="Z14" s="311" t="s">
        <v>291</v>
      </c>
      <c r="AA14" s="177"/>
      <c r="AB14" s="178"/>
      <c r="AC14" s="432" t="s">
        <v>290</v>
      </c>
    </row>
    <row r="15" spans="8:29">
      <c r="H15" s="95"/>
      <c r="I15" s="25" t="s">
        <v>25</v>
      </c>
      <c r="J15" s="81" t="s">
        <v>118</v>
      </c>
      <c r="K15" s="398"/>
      <c r="L15" s="397">
        <f>+K15*3</f>
        <v>0</v>
      </c>
      <c r="M15" s="164"/>
      <c r="N15" s="163">
        <f>+M15*3</f>
        <v>0</v>
      </c>
      <c r="O15" s="28">
        <v>14</v>
      </c>
      <c r="P15" s="75">
        <f t="shared" si="0"/>
        <v>84</v>
      </c>
      <c r="Q15" s="218"/>
      <c r="R15" s="11">
        <f t="shared" si="1"/>
        <v>84</v>
      </c>
      <c r="S15" s="107"/>
      <c r="T15" s="5"/>
      <c r="U15" s="326">
        <f>+V15+W15</f>
        <v>945.97701149425291</v>
      </c>
      <c r="V15" s="256">
        <f>+V14*W15/W14</f>
        <v>122.97701149425289</v>
      </c>
      <c r="W15" s="261">
        <v>823</v>
      </c>
      <c r="X15" s="36" t="s">
        <v>350</v>
      </c>
      <c r="Z15" s="312" t="s">
        <v>292</v>
      </c>
      <c r="AA15" s="313" t="s">
        <v>293</v>
      </c>
      <c r="AB15" s="312" t="s">
        <v>277</v>
      </c>
      <c r="AC15" s="433"/>
    </row>
    <row r="16" spans="8:29">
      <c r="H16" s="95"/>
      <c r="I16" s="25" t="s">
        <v>41</v>
      </c>
      <c r="J16" s="81" t="s">
        <v>112</v>
      </c>
      <c r="K16" s="398"/>
      <c r="L16" s="397">
        <f>+K16*3</f>
        <v>0</v>
      </c>
      <c r="M16" s="164"/>
      <c r="N16" s="163">
        <f>+M16*3</f>
        <v>0</v>
      </c>
      <c r="O16" s="28">
        <v>30</v>
      </c>
      <c r="P16" s="75">
        <f t="shared" si="0"/>
        <v>150</v>
      </c>
      <c r="Q16" s="218"/>
      <c r="R16" s="11">
        <f t="shared" si="1"/>
        <v>150</v>
      </c>
      <c r="S16" s="107"/>
      <c r="T16" s="5"/>
      <c r="U16" s="32">
        <f>+U14-U15</f>
        <v>-65.977011494252906</v>
      </c>
      <c r="V16" s="47"/>
      <c r="W16" s="33"/>
      <c r="X16" s="262" t="s">
        <v>59</v>
      </c>
      <c r="Z16" s="282">
        <v>43673</v>
      </c>
      <c r="AA16" s="317">
        <v>1</v>
      </c>
      <c r="AB16" s="281">
        <v>3</v>
      </c>
      <c r="AC16" s="174" t="s">
        <v>157</v>
      </c>
    </row>
    <row r="17" spans="1:29">
      <c r="A17" s="215"/>
      <c r="H17" s="83"/>
      <c r="I17" s="126" t="s">
        <v>71</v>
      </c>
      <c r="J17" s="80" t="s">
        <v>139</v>
      </c>
      <c r="K17" s="396"/>
      <c r="L17" s="397">
        <f>5*K17</f>
        <v>0</v>
      </c>
      <c r="M17" s="162"/>
      <c r="N17" s="163">
        <f>5*M17</f>
        <v>0</v>
      </c>
      <c r="O17" s="76">
        <v>19</v>
      </c>
      <c r="P17" s="75">
        <f t="shared" si="0"/>
        <v>114</v>
      </c>
      <c r="Q17" s="218"/>
      <c r="R17" s="11">
        <f t="shared" si="1"/>
        <v>114</v>
      </c>
      <c r="S17" s="106"/>
      <c r="T17" s="5"/>
      <c r="U17" s="34">
        <v>150</v>
      </c>
      <c r="V17" s="38">
        <f>+U17-U16</f>
        <v>215.97701149425291</v>
      </c>
      <c r="W17" s="39" t="s">
        <v>63</v>
      </c>
      <c r="X17" s="263">
        <f>150-V17</f>
        <v>-65.977011494252906</v>
      </c>
      <c r="Z17" s="282">
        <f>1+Z16</f>
        <v>43674</v>
      </c>
      <c r="AA17" s="318">
        <v>1</v>
      </c>
      <c r="AB17" s="281">
        <v>5</v>
      </c>
      <c r="AC17" s="33" t="s">
        <v>156</v>
      </c>
    </row>
    <row r="18" spans="1:29">
      <c r="A18" s="215"/>
      <c r="H18" s="95"/>
      <c r="I18" s="25" t="s">
        <v>28</v>
      </c>
      <c r="J18" s="81" t="s">
        <v>122</v>
      </c>
      <c r="K18" s="398"/>
      <c r="L18" s="397">
        <f>+K18*3</f>
        <v>0</v>
      </c>
      <c r="M18" s="164"/>
      <c r="N18" s="163">
        <f>+M18*3</f>
        <v>0</v>
      </c>
      <c r="O18" s="28">
        <v>28</v>
      </c>
      <c r="P18" s="75">
        <f t="shared" si="0"/>
        <v>150</v>
      </c>
      <c r="Q18" s="218"/>
      <c r="R18" s="11">
        <f t="shared" si="1"/>
        <v>150</v>
      </c>
      <c r="S18" s="107"/>
      <c r="T18" s="5"/>
      <c r="U18" s="10"/>
      <c r="X18" s="37"/>
      <c r="Z18" s="282">
        <f t="shared" ref="Z18:Z26" si="2">1+Z17</f>
        <v>43675</v>
      </c>
      <c r="AA18" s="318">
        <v>1</v>
      </c>
      <c r="AB18" s="281">
        <v>5</v>
      </c>
      <c r="AC18" s="33" t="s">
        <v>151</v>
      </c>
    </row>
    <row r="19" spans="1:29">
      <c r="H19" s="141"/>
      <c r="I19" s="390" t="s">
        <v>270</v>
      </c>
      <c r="J19" s="270" t="s">
        <v>273</v>
      </c>
      <c r="K19" s="398">
        <v>13</v>
      </c>
      <c r="L19" s="397">
        <f>3*K19</f>
        <v>39</v>
      </c>
      <c r="M19" s="164">
        <v>15</v>
      </c>
      <c r="N19" s="163">
        <f>5*M19</f>
        <v>75</v>
      </c>
      <c r="O19" s="271"/>
      <c r="P19" s="272">
        <f t="shared" si="0"/>
        <v>0</v>
      </c>
      <c r="Q19" s="218"/>
      <c r="R19" s="272">
        <f t="shared" si="1"/>
        <v>114</v>
      </c>
      <c r="S19" s="274"/>
      <c r="T19" s="5"/>
      <c r="U19" s="258">
        <v>900</v>
      </c>
      <c r="V19" s="259">
        <f>+U19*0.13</f>
        <v>117</v>
      </c>
      <c r="W19" s="327">
        <f>+V19+U19</f>
        <v>1017</v>
      </c>
      <c r="X19" s="100"/>
      <c r="Y19" s="266"/>
      <c r="Z19" s="282">
        <f t="shared" si="2"/>
        <v>43676</v>
      </c>
      <c r="AA19" s="318">
        <v>1</v>
      </c>
      <c r="AB19" s="281">
        <v>2</v>
      </c>
      <c r="AC19" s="33" t="s">
        <v>152</v>
      </c>
    </row>
    <row r="20" spans="1:29">
      <c r="A20" s="215"/>
      <c r="H20" s="142"/>
      <c r="I20" s="25" t="s">
        <v>4</v>
      </c>
      <c r="J20" s="81" t="s">
        <v>111</v>
      </c>
      <c r="K20" s="398">
        <v>16</v>
      </c>
      <c r="L20" s="397">
        <f>3*K20</f>
        <v>48</v>
      </c>
      <c r="M20" s="164">
        <v>8</v>
      </c>
      <c r="N20" s="163">
        <v>0</v>
      </c>
      <c r="O20" s="28"/>
      <c r="P20" s="75">
        <f t="shared" si="0"/>
        <v>0</v>
      </c>
      <c r="Q20" s="218"/>
      <c r="R20" s="11">
        <f t="shared" si="1"/>
        <v>48</v>
      </c>
      <c r="S20" s="107"/>
      <c r="T20" s="5"/>
      <c r="U20" s="326">
        <f>+V20+W20</f>
        <v>802.83185840707961</v>
      </c>
      <c r="V20" s="256">
        <f>+V19*W20/W19</f>
        <v>82.83185840707965</v>
      </c>
      <c r="W20" s="261">
        <v>720</v>
      </c>
      <c r="X20" s="36" t="s">
        <v>350</v>
      </c>
      <c r="Z20" s="282">
        <f t="shared" si="2"/>
        <v>43677</v>
      </c>
      <c r="AA20" s="318"/>
      <c r="AB20" s="281"/>
      <c r="AC20" s="33" t="s">
        <v>153</v>
      </c>
    </row>
    <row r="21" spans="1:29">
      <c r="A21" s="215"/>
      <c r="H21" s="142"/>
      <c r="I21" s="25" t="s">
        <v>9</v>
      </c>
      <c r="J21" s="81" t="s">
        <v>128</v>
      </c>
      <c r="K21" s="398"/>
      <c r="L21" s="397">
        <v>0</v>
      </c>
      <c r="M21" s="164">
        <v>0</v>
      </c>
      <c r="N21" s="163">
        <v>0</v>
      </c>
      <c r="O21" s="28">
        <v>18</v>
      </c>
      <c r="P21" s="75">
        <f t="shared" si="0"/>
        <v>108</v>
      </c>
      <c r="Q21" s="218"/>
      <c r="R21" s="11">
        <f t="shared" si="1"/>
        <v>108</v>
      </c>
      <c r="S21" s="107"/>
      <c r="T21" s="5"/>
      <c r="U21" s="32">
        <f>+U19-U20</f>
        <v>97.168141592920392</v>
      </c>
      <c r="V21" s="47"/>
      <c r="W21" s="33"/>
      <c r="X21" s="262" t="s">
        <v>59</v>
      </c>
      <c r="Z21" s="282">
        <f t="shared" si="2"/>
        <v>43678</v>
      </c>
      <c r="AA21" s="318"/>
      <c r="AB21" s="281"/>
      <c r="AC21" s="33" t="s">
        <v>154</v>
      </c>
    </row>
    <row r="22" spans="1:29">
      <c r="A22" s="215"/>
      <c r="H22" s="142"/>
      <c r="I22" s="25" t="s">
        <v>236</v>
      </c>
      <c r="J22" s="96" t="s">
        <v>235</v>
      </c>
      <c r="K22" s="401"/>
      <c r="L22" s="402">
        <v>0</v>
      </c>
      <c r="M22" s="164"/>
      <c r="N22" s="163">
        <v>0</v>
      </c>
      <c r="O22" s="28">
        <v>21</v>
      </c>
      <c r="P22" s="11">
        <f t="shared" si="0"/>
        <v>126</v>
      </c>
      <c r="Q22" s="218"/>
      <c r="R22" s="11">
        <f t="shared" si="1"/>
        <v>126</v>
      </c>
      <c r="S22" s="241"/>
      <c r="T22" s="5"/>
      <c r="U22" s="34">
        <v>150</v>
      </c>
      <c r="V22" s="38">
        <f>+U22-U21</f>
        <v>52.831858407079608</v>
      </c>
      <c r="W22" s="39" t="s">
        <v>63</v>
      </c>
      <c r="X22" s="263">
        <f>150-V22</f>
        <v>97.168141592920392</v>
      </c>
      <c r="Z22" s="282">
        <f t="shared" si="2"/>
        <v>43679</v>
      </c>
      <c r="AA22" s="318"/>
      <c r="AB22" s="281"/>
      <c r="AC22" s="175" t="s">
        <v>155</v>
      </c>
    </row>
    <row r="23" spans="1:29">
      <c r="H23" s="142"/>
      <c r="I23" s="390" t="s">
        <v>328</v>
      </c>
      <c r="J23" s="270" t="s">
        <v>329</v>
      </c>
      <c r="K23" s="398"/>
      <c r="L23" s="397">
        <v>0</v>
      </c>
      <c r="M23" s="164"/>
      <c r="N23" s="163">
        <v>0</v>
      </c>
      <c r="O23" s="271">
        <v>18</v>
      </c>
      <c r="P23" s="272">
        <f t="shared" si="0"/>
        <v>108</v>
      </c>
      <c r="Q23" s="218"/>
      <c r="R23" s="272">
        <f t="shared" si="1"/>
        <v>108</v>
      </c>
      <c r="S23" s="274"/>
      <c r="T23" s="5"/>
      <c r="U23" s="10"/>
      <c r="X23" s="37"/>
      <c r="Z23" s="282">
        <f t="shared" si="2"/>
        <v>43680</v>
      </c>
      <c r="AA23" s="318"/>
      <c r="AB23" s="281"/>
      <c r="AC23" s="61"/>
    </row>
    <row r="24" spans="1:29">
      <c r="A24" s="237"/>
      <c r="B24" s="237"/>
      <c r="C24" s="237"/>
      <c r="D24" s="238"/>
      <c r="E24" s="237"/>
      <c r="F24" s="239"/>
      <c r="G24" s="237"/>
      <c r="H24" s="142"/>
      <c r="I24" s="25" t="s">
        <v>51</v>
      </c>
      <c r="J24" s="96" t="s">
        <v>134</v>
      </c>
      <c r="K24" s="401"/>
      <c r="L24" s="402">
        <f>+K24*3</f>
        <v>0</v>
      </c>
      <c r="M24" s="164"/>
      <c r="N24" s="163">
        <f>+M24*3</f>
        <v>0</v>
      </c>
      <c r="O24" s="28">
        <v>20</v>
      </c>
      <c r="P24" s="11">
        <f t="shared" si="0"/>
        <v>120</v>
      </c>
      <c r="Q24" s="218"/>
      <c r="R24" s="240">
        <f t="shared" si="1"/>
        <v>120</v>
      </c>
      <c r="S24" s="107"/>
      <c r="T24" s="5"/>
      <c r="Z24" s="282">
        <f t="shared" si="2"/>
        <v>43681</v>
      </c>
      <c r="AA24" s="318"/>
      <c r="AB24" s="281"/>
      <c r="AC24" s="61"/>
    </row>
    <row r="25" spans="1:29">
      <c r="A25" s="215"/>
      <c r="H25" s="142"/>
      <c r="I25" s="25" t="s">
        <v>61</v>
      </c>
      <c r="J25" s="96" t="s">
        <v>137</v>
      </c>
      <c r="K25" s="398">
        <v>18</v>
      </c>
      <c r="L25" s="397">
        <f>5*K25</f>
        <v>90</v>
      </c>
      <c r="M25" s="164">
        <v>15</v>
      </c>
      <c r="N25" s="163">
        <f>5*M25</f>
        <v>75</v>
      </c>
      <c r="O25" s="28"/>
      <c r="P25" s="11">
        <f t="shared" si="0"/>
        <v>0</v>
      </c>
      <c r="Q25" s="218"/>
      <c r="R25" s="361">
        <f t="shared" si="1"/>
        <v>165</v>
      </c>
      <c r="S25" s="241"/>
      <c r="T25" s="5"/>
      <c r="U25" s="332" t="s">
        <v>382</v>
      </c>
      <c r="Z25" s="282">
        <f t="shared" si="2"/>
        <v>43682</v>
      </c>
      <c r="AA25" s="318"/>
      <c r="AB25" s="281"/>
      <c r="AC25" s="65"/>
    </row>
    <row r="26" spans="1:29">
      <c r="A26" s="215"/>
      <c r="H26" s="95"/>
      <c r="I26" s="25" t="s">
        <v>14</v>
      </c>
      <c r="J26" s="81" t="s">
        <v>125</v>
      </c>
      <c r="K26" s="398">
        <v>10</v>
      </c>
      <c r="L26" s="397">
        <v>0</v>
      </c>
      <c r="M26" s="164">
        <v>14</v>
      </c>
      <c r="N26" s="163">
        <f>5*M26</f>
        <v>70</v>
      </c>
      <c r="O26" s="28"/>
      <c r="P26" s="75">
        <f t="shared" si="0"/>
        <v>0</v>
      </c>
      <c r="Q26" s="218"/>
      <c r="R26" s="11">
        <f t="shared" si="1"/>
        <v>70</v>
      </c>
      <c r="S26" s="107"/>
      <c r="T26" s="5"/>
      <c r="Z26" s="282">
        <f t="shared" si="2"/>
        <v>43683</v>
      </c>
      <c r="AA26" s="319"/>
      <c r="AB26" s="281"/>
      <c r="AC26" s="66"/>
    </row>
    <row r="27" spans="1:29">
      <c r="A27" s="215"/>
      <c r="H27" s="95"/>
      <c r="I27" s="25" t="s">
        <v>79</v>
      </c>
      <c r="J27" s="81" t="s">
        <v>110</v>
      </c>
      <c r="K27" s="398">
        <v>11</v>
      </c>
      <c r="L27" s="397">
        <v>0</v>
      </c>
      <c r="M27" s="164">
        <v>11</v>
      </c>
      <c r="N27" s="163">
        <f>3*M27</f>
        <v>33</v>
      </c>
      <c r="O27" s="28"/>
      <c r="P27" s="75">
        <f t="shared" si="0"/>
        <v>0</v>
      </c>
      <c r="Q27" s="218"/>
      <c r="R27" s="11">
        <f t="shared" si="1"/>
        <v>33</v>
      </c>
      <c r="S27" s="107"/>
      <c r="T27" s="5"/>
      <c r="U27" s="287" t="s">
        <v>347</v>
      </c>
      <c r="Z27" s="314" t="s">
        <v>150</v>
      </c>
      <c r="AA27" s="315">
        <f>SUM(AA16:AA26)</f>
        <v>4</v>
      </c>
      <c r="AB27" s="316" t="s">
        <v>148</v>
      </c>
      <c r="AC27" s="68"/>
    </row>
    <row r="28" spans="1:29">
      <c r="H28" s="83"/>
      <c r="I28" s="390" t="s">
        <v>214</v>
      </c>
      <c r="J28" s="270" t="s">
        <v>215</v>
      </c>
      <c r="K28" s="398"/>
      <c r="L28" s="397">
        <v>0</v>
      </c>
      <c r="M28" s="164"/>
      <c r="N28" s="163">
        <f>3*M28</f>
        <v>0</v>
      </c>
      <c r="O28" s="271"/>
      <c r="P28" s="272">
        <f t="shared" si="0"/>
        <v>0</v>
      </c>
      <c r="Q28" s="218"/>
      <c r="R28" s="272">
        <f t="shared" si="1"/>
        <v>0</v>
      </c>
      <c r="S28" s="274"/>
      <c r="T28" s="5"/>
      <c r="Z28" s="184"/>
      <c r="AA28" s="171">
        <f>SUM(AB16:AB26)</f>
        <v>15</v>
      </c>
      <c r="AB28" s="185" t="s">
        <v>149</v>
      </c>
      <c r="AC28" s="69"/>
    </row>
    <row r="29" spans="1:29" ht="16.5">
      <c r="A29" s="237"/>
      <c r="B29" s="237"/>
      <c r="C29" s="237"/>
      <c r="D29" s="238"/>
      <c r="E29" s="237"/>
      <c r="F29" s="239"/>
      <c r="G29" s="237"/>
      <c r="H29" s="142"/>
      <c r="I29" s="25" t="s">
        <v>45</v>
      </c>
      <c r="J29" s="96" t="s">
        <v>133</v>
      </c>
      <c r="K29" s="401"/>
      <c r="L29" s="402">
        <f>+K29*3</f>
        <v>0</v>
      </c>
      <c r="M29" s="164"/>
      <c r="N29" s="163">
        <f>+M29*3</f>
        <v>0</v>
      </c>
      <c r="O29" s="28">
        <v>19</v>
      </c>
      <c r="P29" s="11">
        <f>IF(O29&gt;25,150,(O29)*6)</f>
        <v>114</v>
      </c>
      <c r="Q29" s="218"/>
      <c r="R29" s="240">
        <f t="shared" si="1"/>
        <v>114</v>
      </c>
      <c r="S29" s="107"/>
      <c r="T29" s="5"/>
      <c r="Z29" s="186" t="s">
        <v>160</v>
      </c>
      <c r="AA29" s="284">
        <f>+AA28/AA27</f>
        <v>3.75</v>
      </c>
      <c r="AB29" s="173" t="s">
        <v>150</v>
      </c>
      <c r="AC29" s="65"/>
    </row>
    <row r="30" spans="1:29">
      <c r="A30" s="215"/>
      <c r="H30" s="142"/>
      <c r="I30" s="25" t="s">
        <v>13</v>
      </c>
      <c r="J30" s="81" t="s">
        <v>319</v>
      </c>
      <c r="K30" s="398">
        <v>15</v>
      </c>
      <c r="L30" s="397">
        <f>3*K30</f>
        <v>45</v>
      </c>
      <c r="M30" s="164">
        <v>16</v>
      </c>
      <c r="N30" s="163">
        <v>0</v>
      </c>
      <c r="O30" s="28"/>
      <c r="P30" s="75">
        <f t="shared" si="0"/>
        <v>0</v>
      </c>
      <c r="Q30" s="218"/>
      <c r="R30" s="240">
        <f t="shared" si="1"/>
        <v>45</v>
      </c>
      <c r="S30" s="107"/>
      <c r="T30" s="5"/>
    </row>
    <row r="31" spans="1:29">
      <c r="A31" s="215"/>
      <c r="H31" s="95"/>
      <c r="I31" s="25" t="s">
        <v>31</v>
      </c>
      <c r="J31" s="81" t="s">
        <v>127</v>
      </c>
      <c r="K31" s="398"/>
      <c r="L31" s="397">
        <v>0</v>
      </c>
      <c r="M31" s="164"/>
      <c r="N31" s="163">
        <v>0</v>
      </c>
      <c r="O31" s="28">
        <v>24</v>
      </c>
      <c r="P31" s="75">
        <f t="shared" si="0"/>
        <v>144</v>
      </c>
      <c r="Q31" s="218"/>
      <c r="R31" s="11">
        <f t="shared" si="1"/>
        <v>144</v>
      </c>
      <c r="S31" s="107"/>
      <c r="T31" s="5"/>
    </row>
    <row r="32" spans="1:29">
      <c r="A32" s="215"/>
      <c r="H32" s="95"/>
      <c r="I32" s="25" t="s">
        <v>30</v>
      </c>
      <c r="J32" s="81" t="s">
        <v>126</v>
      </c>
      <c r="K32" s="398"/>
      <c r="L32" s="397">
        <f>+K32*3</f>
        <v>0</v>
      </c>
      <c r="M32" s="164"/>
      <c r="N32" s="163">
        <f>+M32*3</f>
        <v>0</v>
      </c>
      <c r="O32" s="28">
        <v>26</v>
      </c>
      <c r="P32" s="75">
        <f t="shared" si="0"/>
        <v>150</v>
      </c>
      <c r="Q32" s="218"/>
      <c r="R32" s="320">
        <f t="shared" si="1"/>
        <v>150</v>
      </c>
      <c r="S32" s="107"/>
      <c r="T32" s="5"/>
    </row>
    <row r="33" spans="1:32" s="4" customFormat="1">
      <c r="A33" s="215"/>
      <c r="B33"/>
      <c r="C33"/>
      <c r="D33" s="1"/>
      <c r="E33"/>
      <c r="F33" s="2"/>
      <c r="G33"/>
      <c r="H33" s="412" t="s">
        <v>514</v>
      </c>
      <c r="I33" s="410" t="s">
        <v>186</v>
      </c>
      <c r="J33" s="276" t="s">
        <v>187</v>
      </c>
      <c r="K33" s="413"/>
      <c r="L33" s="414">
        <v>0</v>
      </c>
      <c r="M33" s="415">
        <v>12</v>
      </c>
      <c r="N33" s="416">
        <f>5*M33</f>
        <v>60</v>
      </c>
      <c r="O33" s="417"/>
      <c r="P33" s="418">
        <f t="shared" si="0"/>
        <v>0</v>
      </c>
      <c r="Q33" s="419"/>
      <c r="R33" s="418">
        <f t="shared" si="1"/>
        <v>60</v>
      </c>
      <c r="S33" s="280"/>
      <c r="T33" s="411"/>
      <c r="U33"/>
      <c r="V33" s="46"/>
      <c r="W33"/>
      <c r="X33"/>
      <c r="Y33"/>
      <c r="Z33"/>
      <c r="AA33"/>
      <c r="AB33"/>
      <c r="AC33"/>
      <c r="AD33"/>
      <c r="AE33"/>
      <c r="AF33"/>
    </row>
    <row r="34" spans="1:32">
      <c r="A34" s="215"/>
      <c r="H34" s="83"/>
      <c r="I34" s="25" t="s">
        <v>17</v>
      </c>
      <c r="J34" s="81" t="s">
        <v>123</v>
      </c>
      <c r="K34" s="398">
        <v>9</v>
      </c>
      <c r="L34" s="397">
        <v>0</v>
      </c>
      <c r="M34" s="164">
        <v>10</v>
      </c>
      <c r="N34" s="163">
        <v>0</v>
      </c>
      <c r="O34" s="74"/>
      <c r="P34" s="75">
        <f>IF(O34&gt;25,150,(O34)*6)</f>
        <v>0</v>
      </c>
      <c r="Q34" s="218"/>
      <c r="R34" s="11">
        <f t="shared" si="1"/>
        <v>0</v>
      </c>
      <c r="S34" s="107"/>
      <c r="T34" s="5"/>
    </row>
    <row r="35" spans="1:32">
      <c r="A35" s="215"/>
      <c r="H35" s="83"/>
      <c r="I35" s="25" t="s">
        <v>60</v>
      </c>
      <c r="J35" s="81" t="s">
        <v>132</v>
      </c>
      <c r="K35" s="398"/>
      <c r="L35" s="397">
        <v>0</v>
      </c>
      <c r="M35" s="164"/>
      <c r="N35" s="163">
        <v>0</v>
      </c>
      <c r="O35" s="74"/>
      <c r="P35" s="75">
        <f>IF(O35&gt;25,150,(O35)*6)</f>
        <v>0</v>
      </c>
      <c r="Q35" s="218"/>
      <c r="R35" s="11">
        <f>+L35+N35+P35+Q35</f>
        <v>0</v>
      </c>
      <c r="S35" s="107"/>
      <c r="T35" s="5"/>
    </row>
    <row r="36" spans="1:32">
      <c r="H36" s="142"/>
      <c r="I36" s="25" t="s">
        <v>233</v>
      </c>
      <c r="J36" s="81" t="s">
        <v>234</v>
      </c>
      <c r="K36" s="398">
        <v>12</v>
      </c>
      <c r="L36" s="397">
        <f>3*K36</f>
        <v>36</v>
      </c>
      <c r="M36" s="164">
        <v>13</v>
      </c>
      <c r="N36" s="163">
        <f>3*M36</f>
        <v>39</v>
      </c>
      <c r="O36" s="28"/>
      <c r="P36" s="75">
        <f t="shared" si="0"/>
        <v>0</v>
      </c>
      <c r="Q36" s="218"/>
      <c r="R36" s="11">
        <f>+L36+N36+P36+Q36</f>
        <v>75</v>
      </c>
      <c r="S36" s="107"/>
      <c r="T36" s="5"/>
    </row>
    <row r="37" spans="1:32">
      <c r="H37" s="142"/>
      <c r="I37" s="25" t="s">
        <v>469</v>
      </c>
      <c r="J37" s="406" t="s">
        <v>470</v>
      </c>
      <c r="K37" s="398"/>
      <c r="L37" s="397">
        <v>0</v>
      </c>
      <c r="M37" s="164"/>
      <c r="N37" s="163">
        <v>0</v>
      </c>
      <c r="O37" s="74">
        <v>19</v>
      </c>
      <c r="P37" s="75">
        <f t="shared" si="0"/>
        <v>114</v>
      </c>
      <c r="Q37" s="218"/>
      <c r="R37" s="9">
        <f t="shared" si="1"/>
        <v>114</v>
      </c>
      <c r="S37" s="107"/>
      <c r="T37" s="5"/>
    </row>
    <row r="38" spans="1:32">
      <c r="A38" s="215"/>
      <c r="H38" s="95"/>
      <c r="I38" s="25" t="s">
        <v>8</v>
      </c>
      <c r="J38" s="81" t="s">
        <v>120</v>
      </c>
      <c r="K38" s="398"/>
      <c r="L38" s="397">
        <v>0</v>
      </c>
      <c r="M38" s="164"/>
      <c r="N38" s="163">
        <v>0</v>
      </c>
      <c r="O38" s="28">
        <v>22</v>
      </c>
      <c r="P38" s="75">
        <f t="shared" si="0"/>
        <v>132</v>
      </c>
      <c r="Q38" s="218"/>
      <c r="R38" s="11">
        <f t="shared" si="1"/>
        <v>132</v>
      </c>
      <c r="S38" s="107"/>
      <c r="T38" s="5"/>
      <c r="AF38" s="4"/>
    </row>
    <row r="39" spans="1:32">
      <c r="A39" s="215"/>
      <c r="H39" s="95"/>
      <c r="I39" s="25" t="s">
        <v>11</v>
      </c>
      <c r="J39" s="81" t="s">
        <v>130</v>
      </c>
      <c r="K39" s="398"/>
      <c r="L39" s="397">
        <f>+K39*3</f>
        <v>0</v>
      </c>
      <c r="M39" s="164"/>
      <c r="N39" s="163">
        <v>0</v>
      </c>
      <c r="O39" s="28">
        <v>25</v>
      </c>
      <c r="P39" s="75">
        <f t="shared" si="0"/>
        <v>150</v>
      </c>
      <c r="Q39" s="218"/>
      <c r="R39" s="11">
        <f t="shared" si="1"/>
        <v>150</v>
      </c>
      <c r="S39" s="107"/>
      <c r="T39" s="5"/>
    </row>
    <row r="40" spans="1:32" ht="15.75">
      <c r="H40" s="83"/>
      <c r="I40" s="25" t="s">
        <v>6</v>
      </c>
      <c r="J40" s="96" t="s">
        <v>116</v>
      </c>
      <c r="K40" s="398"/>
      <c r="L40" s="397">
        <f>+K40*3</f>
        <v>0</v>
      </c>
      <c r="M40" s="164"/>
      <c r="N40" s="163">
        <f>+M40*3</f>
        <v>0</v>
      </c>
      <c r="O40" s="74"/>
      <c r="P40" s="75">
        <f t="shared" si="0"/>
        <v>0</v>
      </c>
      <c r="Q40" s="218"/>
      <c r="R40" s="11">
        <f t="shared" si="1"/>
        <v>0</v>
      </c>
      <c r="S40" s="107"/>
      <c r="T40" s="5"/>
      <c r="V40" s="375">
        <v>12</v>
      </c>
      <c r="W40" s="376">
        <f>+V40/7*6</f>
        <v>10.285714285714285</v>
      </c>
    </row>
    <row r="41" spans="1:32" ht="15.75">
      <c r="H41" s="95"/>
      <c r="I41" s="25" t="s">
        <v>53</v>
      </c>
      <c r="J41" s="81" t="s">
        <v>135</v>
      </c>
      <c r="K41" s="398"/>
      <c r="L41" s="397">
        <v>0</v>
      </c>
      <c r="M41" s="164"/>
      <c r="N41" s="163">
        <v>0</v>
      </c>
      <c r="O41" s="28">
        <v>17</v>
      </c>
      <c r="P41" s="75">
        <f t="shared" si="0"/>
        <v>102</v>
      </c>
      <c r="Q41" s="218"/>
      <c r="R41" s="11">
        <f t="shared" si="1"/>
        <v>102</v>
      </c>
      <c r="S41" s="107"/>
      <c r="T41" s="5"/>
      <c r="V41" s="375">
        <v>20</v>
      </c>
      <c r="W41" s="376">
        <f>+V41/7*6</f>
        <v>17.142857142857142</v>
      </c>
    </row>
    <row r="42" spans="1:32" ht="15.75">
      <c r="H42" s="81"/>
      <c r="I42" s="120" t="s">
        <v>12</v>
      </c>
      <c r="J42" s="121" t="s">
        <v>114</v>
      </c>
      <c r="K42" s="403">
        <v>12</v>
      </c>
      <c r="L42" s="404">
        <v>0</v>
      </c>
      <c r="M42" s="165">
        <v>2</v>
      </c>
      <c r="N42" s="166">
        <v>0</v>
      </c>
      <c r="O42" s="122"/>
      <c r="P42" s="15">
        <f t="shared" si="0"/>
        <v>0</v>
      </c>
      <c r="Q42" s="222"/>
      <c r="R42" s="362">
        <f t="shared" si="1"/>
        <v>0</v>
      </c>
      <c r="S42" s="389"/>
      <c r="T42" s="5"/>
      <c r="V42" s="375">
        <v>8</v>
      </c>
      <c r="W42" s="377">
        <f>+W41-W40</f>
        <v>6.8571428571428577</v>
      </c>
    </row>
    <row r="43" spans="1:32">
      <c r="I43" s="13"/>
      <c r="J43" s="14"/>
      <c r="K43" s="405">
        <f t="shared" ref="K43:S43" si="3">SUM(K4:K42)</f>
        <v>127</v>
      </c>
      <c r="L43" s="408">
        <f t="shared" si="3"/>
        <v>258</v>
      </c>
      <c r="M43" s="167">
        <f t="shared" si="3"/>
        <v>131</v>
      </c>
      <c r="N43" s="407">
        <f t="shared" si="3"/>
        <v>427</v>
      </c>
      <c r="O43" s="77">
        <f t="shared" si="3"/>
        <v>442</v>
      </c>
      <c r="P43" s="409">
        <f t="shared" si="3"/>
        <v>2568</v>
      </c>
      <c r="Q43" s="323">
        <f t="shared" si="3"/>
        <v>0</v>
      </c>
      <c r="R43" s="78">
        <f t="shared" si="3"/>
        <v>3253</v>
      </c>
      <c r="S43" s="102">
        <f t="shared" si="3"/>
        <v>0</v>
      </c>
      <c r="T43" s="5"/>
    </row>
    <row r="44" spans="1:32">
      <c r="J44" s="200">
        <f ca="1">TODAY()</f>
        <v>43825</v>
      </c>
      <c r="K44" s="41"/>
      <c r="M44" s="42"/>
      <c r="N44" s="41"/>
      <c r="O44" s="45" t="s">
        <v>81</v>
      </c>
      <c r="Q44" s="42"/>
      <c r="R44" s="45">
        <f>+R9+R14+R33</f>
        <v>60</v>
      </c>
      <c r="T44" s="5"/>
    </row>
    <row r="45" spans="1:32">
      <c r="L45" s="43"/>
      <c r="M45" s="44"/>
      <c r="N45" s="125"/>
      <c r="O45" s="43" t="s">
        <v>91</v>
      </c>
      <c r="P45" s="114">
        <v>2622</v>
      </c>
      <c r="Q45" s="110" t="s">
        <v>58</v>
      </c>
      <c r="R45" s="111">
        <f>+R43-R44</f>
        <v>3193</v>
      </c>
      <c r="S45" s="109"/>
      <c r="T45" s="5"/>
    </row>
    <row r="46" spans="1:32">
      <c r="P46" s="19"/>
      <c r="T46" s="5"/>
      <c r="AC46">
        <v>4</v>
      </c>
    </row>
    <row r="47" spans="1:32" ht="15" customHeight="1">
      <c r="I47" s="330" t="s">
        <v>515</v>
      </c>
      <c r="P47" s="1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I48" s="331" t="s">
        <v>516</v>
      </c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30" t="s">
        <v>517</v>
      </c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30" t="s">
        <v>518</v>
      </c>
      <c r="T50" s="5"/>
    </row>
    <row r="52" spans="9:29">
      <c r="V52" s="59"/>
      <c r="W52" s="60"/>
      <c r="X52" s="61"/>
    </row>
    <row r="53" spans="9:29">
      <c r="U53" s="58"/>
      <c r="V53" s="59"/>
      <c r="W53" s="60"/>
      <c r="X53" s="61"/>
    </row>
    <row r="54" spans="9:29">
      <c r="U54" s="58"/>
      <c r="V54" s="59"/>
      <c r="W54" s="60"/>
      <c r="X54" s="61"/>
    </row>
    <row r="55" spans="9:29">
      <c r="U55" s="58"/>
      <c r="V55" s="59"/>
      <c r="W55" s="60"/>
      <c r="X55" s="60"/>
    </row>
    <row r="56" spans="9:29">
      <c r="U56" s="58"/>
      <c r="V56" s="59"/>
      <c r="W56" s="60"/>
      <c r="X56" s="60"/>
    </row>
    <row r="57" spans="9:29">
      <c r="U57" s="58"/>
      <c r="V57" s="59"/>
      <c r="W57" s="62"/>
      <c r="X57" s="60"/>
    </row>
    <row r="58" spans="9:29">
      <c r="U58" s="58"/>
      <c r="V58" s="59"/>
      <c r="W58" s="62"/>
      <c r="X58" s="60"/>
    </row>
    <row r="59" spans="9:29">
      <c r="U59" s="64"/>
      <c r="V59" s="59"/>
      <c r="W59" s="60"/>
      <c r="X59" s="60"/>
    </row>
    <row r="60" spans="9:29">
      <c r="U60" s="58"/>
      <c r="V60" s="66"/>
      <c r="W60" s="67"/>
      <c r="X60" s="60"/>
    </row>
    <row r="61" spans="9:29">
      <c r="U61" s="60"/>
      <c r="V61" s="59"/>
      <c r="W61" s="60"/>
    </row>
    <row r="62" spans="9:29">
      <c r="U62" s="60"/>
      <c r="V62" s="59"/>
      <c r="W62" s="60"/>
    </row>
    <row r="63" spans="9:29">
      <c r="U63" s="60"/>
      <c r="V63" s="59"/>
      <c r="W63" s="60"/>
    </row>
    <row r="64" spans="9:29">
      <c r="U64" s="60"/>
      <c r="V64" s="59"/>
      <c r="W64" s="60"/>
    </row>
    <row r="65" spans="21:23">
      <c r="U65" s="60"/>
      <c r="V65" s="59"/>
      <c r="W65" s="60"/>
    </row>
    <row r="66" spans="21:23">
      <c r="U66" s="60"/>
      <c r="V66" s="59"/>
      <c r="W66" s="60"/>
    </row>
  </sheetData>
  <mergeCells count="3">
    <mergeCell ref="I2:R2"/>
    <mergeCell ref="T2:V2"/>
    <mergeCell ref="AC14:AC15"/>
  </mergeCells>
  <conditionalFormatting sqref="R4">
    <cfRule type="cellIs" dxfId="118" priority="2" operator="lessThanOrEqual">
      <formula>0</formula>
    </cfRule>
  </conditionalFormatting>
  <conditionalFormatting sqref="R4:R42">
    <cfRule type="cellIs" dxfId="117" priority="1" operator="greaterThan">
      <formula>0</formula>
    </cfRule>
  </conditionalFormatting>
  <printOptions horizontalCentered="1"/>
  <pageMargins left="0" right="0.17" top="1.34" bottom="0" header="0" footer="0"/>
  <pageSetup paperSize="9" scale="90" orientation="portrait" r:id="rId1"/>
  <ignoredErrors>
    <ignoredError sqref="L17:N18" 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61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H16" sqref="H16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.7109375" customWidth="1"/>
    <col min="9" max="9" width="7.42578125" customWidth="1"/>
    <col min="10" max="10" width="28.5703125" customWidth="1"/>
    <col min="11" max="11" width="1.7109375" customWidth="1"/>
    <col min="12" max="12" width="1.5703125" customWidth="1"/>
    <col min="13" max="13" width="5.7109375" customWidth="1"/>
    <col min="14" max="14" width="12.42578125" customWidth="1"/>
    <col min="15" max="15" width="6.140625" customWidth="1"/>
    <col min="16" max="16" width="11.42578125" customWidth="1"/>
    <col min="17" max="17" width="6.42578125" customWidth="1"/>
    <col min="18" max="18" width="13.85546875" customWidth="1"/>
    <col min="19" max="19" width="2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7" ht="5.0999999999999996" customHeight="1"/>
    <row r="2" spans="8:27">
      <c r="H2" s="83"/>
      <c r="I2" s="439" t="s">
        <v>274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7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Y3" s="437">
        <v>43613</v>
      </c>
      <c r="Z3" s="438"/>
      <c r="AA3" s="438"/>
    </row>
    <row r="4" spans="8:27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285" t="s">
        <v>278</v>
      </c>
      <c r="O4" s="87" t="s">
        <v>15</v>
      </c>
      <c r="P4" s="87" t="s">
        <v>275</v>
      </c>
      <c r="Q4" s="99" t="s">
        <v>276</v>
      </c>
      <c r="R4" s="88" t="s">
        <v>103</v>
      </c>
      <c r="S4" s="139" t="s">
        <v>104</v>
      </c>
      <c r="T4" s="89"/>
      <c r="U4" s="83"/>
      <c r="V4" s="83"/>
    </row>
    <row r="5" spans="8:27">
      <c r="H5" s="83"/>
      <c r="I5" s="126" t="s">
        <v>5</v>
      </c>
      <c r="J5" s="80" t="s">
        <v>117</v>
      </c>
      <c r="K5" s="226"/>
      <c r="L5" s="227">
        <f>+K5*3</f>
        <v>0</v>
      </c>
      <c r="M5" s="162">
        <v>38</v>
      </c>
      <c r="N5" s="163">
        <v>0</v>
      </c>
      <c r="O5" s="76"/>
      <c r="P5" s="75">
        <f t="shared" ref="P5:P43" si="0">IF(O5&gt;25,150,(O5)*6)</f>
        <v>0</v>
      </c>
      <c r="Q5" s="217">
        <v>10</v>
      </c>
      <c r="R5" s="11">
        <f t="shared" ref="R5:R43" si="1">+L5+N5+P5+Q5</f>
        <v>10</v>
      </c>
      <c r="S5" s="106"/>
      <c r="T5" s="5"/>
      <c r="U5" s="258">
        <v>798.8</v>
      </c>
      <c r="V5" s="259">
        <v>103.44</v>
      </c>
      <c r="W5" s="260">
        <v>695.36</v>
      </c>
      <c r="X5" s="265" t="s">
        <v>110</v>
      </c>
      <c r="Y5" s="266"/>
    </row>
    <row r="6" spans="8:27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261">
        <v>720</v>
      </c>
      <c r="V6" s="256">
        <f>+V5*U6/U5</f>
        <v>93.235853780671022</v>
      </c>
      <c r="W6" s="257">
        <f>+U6-V6</f>
        <v>626.76414621932895</v>
      </c>
      <c r="X6" s="36"/>
    </row>
    <row r="7" spans="8:27">
      <c r="H7" s="83"/>
      <c r="I7" s="126" t="s">
        <v>64</v>
      </c>
      <c r="J7" s="80" t="s">
        <v>138</v>
      </c>
      <c r="K7" s="226"/>
      <c r="L7" s="227">
        <f>+K7*3</f>
        <v>0</v>
      </c>
      <c r="M7" s="162"/>
      <c r="N7" s="163">
        <v>0</v>
      </c>
      <c r="O7" s="76">
        <v>43</v>
      </c>
      <c r="P7" s="75">
        <f t="shared" si="0"/>
        <v>150</v>
      </c>
      <c r="Q7" s="217"/>
      <c r="R7" s="11">
        <f t="shared" si="1"/>
        <v>150</v>
      </c>
      <c r="S7" s="106"/>
      <c r="T7" s="5"/>
      <c r="U7" s="32">
        <f>+U5-U6</f>
        <v>78.799999999999955</v>
      </c>
      <c r="V7" s="47"/>
      <c r="W7" s="33"/>
      <c r="X7" s="262" t="s">
        <v>59</v>
      </c>
      <c r="AA7">
        <v>220</v>
      </c>
    </row>
    <row r="8" spans="8:27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>
        <v>29</v>
      </c>
      <c r="P8" s="75">
        <f t="shared" si="0"/>
        <v>150</v>
      </c>
      <c r="Q8" s="217"/>
      <c r="R8" s="11">
        <f t="shared" si="1"/>
        <v>150</v>
      </c>
      <c r="S8" s="138"/>
      <c r="T8" s="5"/>
      <c r="U8" s="34">
        <v>150</v>
      </c>
      <c r="V8" s="38">
        <f>+U8-U7</f>
        <v>71.200000000000045</v>
      </c>
      <c r="W8" s="39" t="s">
        <v>63</v>
      </c>
      <c r="X8" s="263">
        <f>150-V8</f>
        <v>78.799999999999955</v>
      </c>
      <c r="AA8">
        <v>220</v>
      </c>
    </row>
    <row r="9" spans="8:27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>
        <v>38</v>
      </c>
      <c r="P9" s="75">
        <f t="shared" si="0"/>
        <v>150</v>
      </c>
      <c r="Q9" s="218"/>
      <c r="R9" s="11">
        <f t="shared" si="1"/>
        <v>150</v>
      </c>
      <c r="S9" s="107"/>
      <c r="T9" s="5"/>
      <c r="U9" s="10"/>
      <c r="X9" s="37"/>
      <c r="AA9">
        <v>140</v>
      </c>
    </row>
    <row r="10" spans="8:27" ht="15" customHeight="1">
      <c r="H10" s="95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28"/>
      <c r="P10" s="75">
        <f t="shared" si="0"/>
        <v>0</v>
      </c>
      <c r="Q10" s="218"/>
      <c r="R10" s="11">
        <f t="shared" si="1"/>
        <v>0</v>
      </c>
      <c r="S10" s="197"/>
      <c r="T10" s="5"/>
      <c r="U10" s="258">
        <v>728.8</v>
      </c>
      <c r="V10" s="259">
        <v>103.44</v>
      </c>
      <c r="W10" s="260">
        <v>695.36</v>
      </c>
      <c r="X10" s="264" t="s">
        <v>35</v>
      </c>
      <c r="Y10" s="266"/>
      <c r="AA10">
        <v>40</v>
      </c>
    </row>
    <row r="11" spans="8:27">
      <c r="H11" s="141"/>
      <c r="I11" s="126" t="s">
        <v>56</v>
      </c>
      <c r="J11" s="80" t="s">
        <v>136</v>
      </c>
      <c r="K11" s="226"/>
      <c r="L11" s="227">
        <v>0</v>
      </c>
      <c r="M11" s="162"/>
      <c r="N11" s="163">
        <f>2.7*M11</f>
        <v>0</v>
      </c>
      <c r="O11" s="74">
        <v>39</v>
      </c>
      <c r="P11" s="75">
        <f t="shared" si="0"/>
        <v>150</v>
      </c>
      <c r="Q11" s="217"/>
      <c r="R11" s="9">
        <f t="shared" si="1"/>
        <v>150</v>
      </c>
      <c r="S11" s="107"/>
      <c r="T11" s="5"/>
      <c r="U11" s="261">
        <v>720</v>
      </c>
      <c r="V11" s="256">
        <f>+V10*U11/U10</f>
        <v>102.19099890230517</v>
      </c>
      <c r="W11" s="257">
        <f>+U11-V11</f>
        <v>617.80900109769482</v>
      </c>
      <c r="X11" s="37"/>
      <c r="AA11">
        <v>55</v>
      </c>
    </row>
    <row r="12" spans="8:27">
      <c r="H12" s="95"/>
      <c r="I12" s="25" t="s">
        <v>16</v>
      </c>
      <c r="J12" s="81" t="s">
        <v>113</v>
      </c>
      <c r="K12" s="228"/>
      <c r="L12" s="227">
        <v>0</v>
      </c>
      <c r="M12" s="164">
        <v>19</v>
      </c>
      <c r="N12" s="163">
        <v>0</v>
      </c>
      <c r="O12" s="28"/>
      <c r="P12" s="75">
        <f t="shared" si="0"/>
        <v>0</v>
      </c>
      <c r="Q12" s="218"/>
      <c r="R12" s="9">
        <f t="shared" si="1"/>
        <v>0</v>
      </c>
      <c r="S12" s="106"/>
      <c r="T12" s="5"/>
      <c r="U12" s="32">
        <f>+U10-U11</f>
        <v>8.7999999999999545</v>
      </c>
      <c r="V12" s="47"/>
      <c r="W12" s="33"/>
      <c r="X12" s="262" t="s">
        <v>59</v>
      </c>
      <c r="AA12">
        <v>80</v>
      </c>
    </row>
    <row r="13" spans="8:27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141.20000000000005</v>
      </c>
      <c r="W13" s="39" t="s">
        <v>63</v>
      </c>
      <c r="X13" s="263">
        <f>150-V13</f>
        <v>8.7999999999999545</v>
      </c>
      <c r="AA13">
        <v>70</v>
      </c>
    </row>
    <row r="14" spans="8:27">
      <c r="H14" s="95"/>
      <c r="I14" s="25" t="s">
        <v>20</v>
      </c>
      <c r="J14" s="81" t="s">
        <v>195</v>
      </c>
      <c r="K14" s="228"/>
      <c r="L14" s="227">
        <f>+K14*3</f>
        <v>0</v>
      </c>
      <c r="M14" s="164"/>
      <c r="N14" s="163">
        <f>+M14*3</f>
        <v>0</v>
      </c>
      <c r="O14" s="28">
        <v>1</v>
      </c>
      <c r="P14" s="75">
        <f t="shared" si="0"/>
        <v>6</v>
      </c>
      <c r="Q14" s="218"/>
      <c r="R14" s="9">
        <f t="shared" si="1"/>
        <v>6</v>
      </c>
      <c r="S14" s="107"/>
      <c r="T14" s="5"/>
      <c r="U14" s="10"/>
      <c r="X14" s="37"/>
      <c r="AA14">
        <f>SUM(AA7:AA13)</f>
        <v>825</v>
      </c>
    </row>
    <row r="15" spans="8:27">
      <c r="H15" s="251" t="s">
        <v>50</v>
      </c>
      <c r="I15" s="275" t="s">
        <v>272</v>
      </c>
      <c r="J15" s="276" t="s">
        <v>271</v>
      </c>
      <c r="K15" s="277"/>
      <c r="L15" s="278">
        <v>0</v>
      </c>
      <c r="M15" s="277">
        <v>25</v>
      </c>
      <c r="N15" s="278">
        <v>0</v>
      </c>
      <c r="O15" s="277"/>
      <c r="P15" s="278">
        <f t="shared" si="0"/>
        <v>0</v>
      </c>
      <c r="Q15" s="279">
        <v>10</v>
      </c>
      <c r="R15" s="278">
        <f t="shared" si="1"/>
        <v>10</v>
      </c>
      <c r="S15" s="280"/>
      <c r="T15" s="5"/>
      <c r="U15" s="258">
        <v>744</v>
      </c>
      <c r="V15" s="259">
        <v>96.72</v>
      </c>
      <c r="W15" s="260">
        <v>647.28</v>
      </c>
      <c r="X15" s="100"/>
      <c r="Y15" s="266"/>
    </row>
    <row r="16" spans="8:27">
      <c r="H16" s="187" t="s">
        <v>250</v>
      </c>
      <c r="I16" s="188" t="s">
        <v>25</v>
      </c>
      <c r="J16" s="242" t="s">
        <v>118</v>
      </c>
      <c r="K16" s="192"/>
      <c r="L16" s="193">
        <f>+K16*3</f>
        <v>0</v>
      </c>
      <c r="M16" s="192"/>
      <c r="N16" s="193">
        <f>+M16*3</f>
        <v>0</v>
      </c>
      <c r="O16" s="192"/>
      <c r="P16" s="193">
        <f t="shared" si="0"/>
        <v>0</v>
      </c>
      <c r="Q16" s="221"/>
      <c r="R16" s="193">
        <f t="shared" si="1"/>
        <v>0</v>
      </c>
      <c r="S16" s="197"/>
      <c r="T16" s="5"/>
      <c r="U16" s="261">
        <v>720</v>
      </c>
      <c r="V16" s="256">
        <f>+V15*U16/U15</f>
        <v>93.6</v>
      </c>
      <c r="W16" s="257">
        <f>+U16-V16</f>
        <v>626.4</v>
      </c>
      <c r="X16" s="37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164"/>
      <c r="N17" s="163">
        <f>+M17*3</f>
        <v>0</v>
      </c>
      <c r="O17" s="28">
        <v>45</v>
      </c>
      <c r="P17" s="75">
        <f t="shared" si="0"/>
        <v>150</v>
      </c>
      <c r="Q17" s="218"/>
      <c r="R17" s="11">
        <f t="shared" si="1"/>
        <v>150</v>
      </c>
      <c r="S17" s="107"/>
      <c r="T17" s="5"/>
      <c r="U17" s="32">
        <f>+U15-U16</f>
        <v>24</v>
      </c>
      <c r="V17" s="47"/>
      <c r="W17" s="33"/>
      <c r="X17" s="262" t="s">
        <v>59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162"/>
      <c r="N18" s="163">
        <f>5*M18</f>
        <v>0</v>
      </c>
      <c r="O18" s="76">
        <v>35</v>
      </c>
      <c r="P18" s="75">
        <f t="shared" si="0"/>
        <v>150</v>
      </c>
      <c r="Q18" s="217"/>
      <c r="R18" s="11">
        <f t="shared" si="1"/>
        <v>150</v>
      </c>
      <c r="S18" s="106"/>
      <c r="T18" s="5"/>
      <c r="U18" s="34">
        <v>150</v>
      </c>
      <c r="V18" s="38">
        <f>+U18-U17</f>
        <v>126</v>
      </c>
      <c r="W18" s="39" t="s">
        <v>63</v>
      </c>
      <c r="X18" s="263">
        <f>150-V18</f>
        <v>24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164"/>
      <c r="N19" s="163">
        <f>+M19*3</f>
        <v>0</v>
      </c>
      <c r="O19" s="74">
        <v>19</v>
      </c>
      <c r="P19" s="75">
        <f t="shared" si="0"/>
        <v>114</v>
      </c>
      <c r="Q19" s="217"/>
      <c r="R19" s="9">
        <f t="shared" si="1"/>
        <v>114</v>
      </c>
      <c r="S19" s="107"/>
      <c r="T19" s="5"/>
      <c r="U19" s="10"/>
      <c r="X19" s="37"/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164">
        <v>30</v>
      </c>
      <c r="N20" s="163">
        <v>0</v>
      </c>
      <c r="O20" s="74"/>
      <c r="P20" s="75">
        <f t="shared" si="0"/>
        <v>0</v>
      </c>
      <c r="Q20" s="217"/>
      <c r="R20" s="9">
        <f t="shared" si="1"/>
        <v>0</v>
      </c>
      <c r="S20" s="107"/>
      <c r="T20" s="5"/>
      <c r="U20" s="58"/>
      <c r="V20" s="59"/>
      <c r="W20" s="60"/>
      <c r="X20" s="61"/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277">
        <v>38</v>
      </c>
      <c r="N21" s="278">
        <v>0</v>
      </c>
      <c r="O21" s="277"/>
      <c r="P21" s="278">
        <f t="shared" si="0"/>
        <v>0</v>
      </c>
      <c r="Q21" s="279">
        <v>10</v>
      </c>
      <c r="R21" s="278">
        <f t="shared" si="1"/>
        <v>10</v>
      </c>
      <c r="S21" s="280"/>
      <c r="T21" s="5"/>
      <c r="U21" s="103" t="s">
        <v>161</v>
      </c>
    </row>
    <row r="22" spans="1:29">
      <c r="A22" s="215"/>
      <c r="H22" s="142"/>
      <c r="I22" s="25" t="s">
        <v>4</v>
      </c>
      <c r="J22" s="81" t="s">
        <v>111</v>
      </c>
      <c r="K22" s="228"/>
      <c r="L22" s="227">
        <v>0</v>
      </c>
      <c r="M22" s="164"/>
      <c r="N22" s="163">
        <v>0</v>
      </c>
      <c r="O22" s="28">
        <v>39</v>
      </c>
      <c r="P22" s="75">
        <f t="shared" si="0"/>
        <v>150</v>
      </c>
      <c r="Q22" s="218"/>
      <c r="R22" s="11">
        <f t="shared" si="1"/>
        <v>150</v>
      </c>
      <c r="S22" s="107"/>
      <c r="T22" s="5"/>
      <c r="U22" s="176" t="s">
        <v>158</v>
      </c>
      <c r="V22" s="177" t="s">
        <v>159</v>
      </c>
      <c r="W22" s="178"/>
      <c r="X22" s="174" t="s">
        <v>157</v>
      </c>
    </row>
    <row r="23" spans="1:29">
      <c r="A23" s="215"/>
      <c r="H23" s="142"/>
      <c r="I23" s="25" t="s">
        <v>9</v>
      </c>
      <c r="J23" s="81" t="s">
        <v>128</v>
      </c>
      <c r="K23" s="228"/>
      <c r="L23" s="227">
        <v>0</v>
      </c>
      <c r="M23" s="164"/>
      <c r="N23" s="163">
        <v>0</v>
      </c>
      <c r="O23" s="28">
        <v>31</v>
      </c>
      <c r="P23" s="75">
        <f t="shared" si="0"/>
        <v>150</v>
      </c>
      <c r="Q23" s="218"/>
      <c r="R23" s="57">
        <f t="shared" si="1"/>
        <v>150</v>
      </c>
      <c r="S23" s="107"/>
      <c r="T23" s="5"/>
      <c r="U23" s="176" t="s">
        <v>158</v>
      </c>
      <c r="V23" s="177" t="s">
        <v>159</v>
      </c>
      <c r="W23" s="178" t="s">
        <v>277</v>
      </c>
      <c r="X23" s="174" t="s">
        <v>157</v>
      </c>
    </row>
    <row r="24" spans="1:29">
      <c r="A24" s="215"/>
      <c r="H24" s="251" t="s">
        <v>50</v>
      </c>
      <c r="I24" s="252" t="s">
        <v>236</v>
      </c>
      <c r="J24" s="250" t="s">
        <v>235</v>
      </c>
      <c r="K24" s="229"/>
      <c r="L24" s="230">
        <v>0</v>
      </c>
      <c r="M24" s="160"/>
      <c r="N24" s="161">
        <v>0</v>
      </c>
      <c r="O24" s="23">
        <v>34</v>
      </c>
      <c r="P24" s="24">
        <f t="shared" si="0"/>
        <v>150</v>
      </c>
      <c r="Q24" s="219"/>
      <c r="R24" s="24">
        <f t="shared" si="1"/>
        <v>150</v>
      </c>
      <c r="S24" s="108"/>
      <c r="T24" s="5"/>
      <c r="U24" s="282">
        <v>43607</v>
      </c>
      <c r="V24" s="170">
        <v>0.5</v>
      </c>
      <c r="W24" s="281">
        <v>3</v>
      </c>
      <c r="X24" s="33" t="s">
        <v>156</v>
      </c>
    </row>
    <row r="25" spans="1:29">
      <c r="A25" s="237"/>
      <c r="B25" s="237"/>
      <c r="C25" s="237"/>
      <c r="D25" s="238"/>
      <c r="E25" s="237"/>
      <c r="F25" s="239"/>
      <c r="G25" s="237"/>
      <c r="H25" s="142"/>
      <c r="I25" s="25" t="s">
        <v>51</v>
      </c>
      <c r="J25" s="96" t="s">
        <v>134</v>
      </c>
      <c r="K25" s="29"/>
      <c r="L25" s="27">
        <f>+K25*3</f>
        <v>0</v>
      </c>
      <c r="M25" s="164"/>
      <c r="N25" s="163">
        <f>+M25*3</f>
        <v>0</v>
      </c>
      <c r="O25" s="28">
        <v>39</v>
      </c>
      <c r="P25" s="11">
        <f t="shared" si="0"/>
        <v>150</v>
      </c>
      <c r="Q25" s="218"/>
      <c r="R25" s="240">
        <f t="shared" si="1"/>
        <v>150</v>
      </c>
      <c r="S25" s="241"/>
      <c r="T25" s="5"/>
      <c r="U25" s="282">
        <f>1+U24</f>
        <v>43608</v>
      </c>
      <c r="V25" s="170">
        <v>1</v>
      </c>
      <c r="W25" s="281">
        <v>4</v>
      </c>
      <c r="X25" s="33" t="s">
        <v>151</v>
      </c>
    </row>
    <row r="26" spans="1:29">
      <c r="A26" s="215"/>
      <c r="H26" s="83"/>
      <c r="I26" s="126" t="s">
        <v>61</v>
      </c>
      <c r="J26" s="80" t="s">
        <v>137</v>
      </c>
      <c r="K26" s="226"/>
      <c r="L26" s="227">
        <f>3*K26</f>
        <v>0</v>
      </c>
      <c r="M26" s="162">
        <v>42</v>
      </c>
      <c r="N26" s="163">
        <f>3*M26</f>
        <v>126</v>
      </c>
      <c r="O26" s="72"/>
      <c r="P26" s="75">
        <f t="shared" si="0"/>
        <v>0</v>
      </c>
      <c r="Q26" s="217">
        <v>10</v>
      </c>
      <c r="R26" s="11">
        <f t="shared" si="1"/>
        <v>136</v>
      </c>
      <c r="S26" s="106"/>
      <c r="T26" s="5"/>
      <c r="U26" s="282">
        <f t="shared" ref="U26:U34" si="2">1+U25</f>
        <v>43609</v>
      </c>
      <c r="V26" s="170">
        <v>1</v>
      </c>
      <c r="W26" s="281">
        <v>5</v>
      </c>
      <c r="X26" s="33" t="s">
        <v>152</v>
      </c>
    </row>
    <row r="27" spans="1:29">
      <c r="A27" s="215"/>
      <c r="H27" s="83"/>
      <c r="I27" s="25" t="s">
        <v>14</v>
      </c>
      <c r="J27" s="96" t="s">
        <v>125</v>
      </c>
      <c r="K27" s="228"/>
      <c r="L27" s="227">
        <f>+K27*3</f>
        <v>0</v>
      </c>
      <c r="M27" s="164"/>
      <c r="N27" s="163">
        <v>0</v>
      </c>
      <c r="O27" s="74">
        <v>39</v>
      </c>
      <c r="P27" s="75">
        <f t="shared" si="0"/>
        <v>150</v>
      </c>
      <c r="Q27" s="218"/>
      <c r="R27" s="11">
        <f t="shared" si="1"/>
        <v>150</v>
      </c>
      <c r="S27" s="107"/>
      <c r="T27" s="5"/>
      <c r="U27" s="282">
        <f t="shared" si="2"/>
        <v>43610</v>
      </c>
      <c r="V27" s="170">
        <v>1</v>
      </c>
      <c r="W27" s="281">
        <v>3</v>
      </c>
      <c r="X27" s="33" t="s">
        <v>153</v>
      </c>
    </row>
    <row r="28" spans="1:29">
      <c r="A28" s="215"/>
      <c r="H28" s="83"/>
      <c r="I28" s="126" t="s">
        <v>79</v>
      </c>
      <c r="J28" s="82" t="s">
        <v>110</v>
      </c>
      <c r="K28" s="228"/>
      <c r="L28" s="227">
        <v>0</v>
      </c>
      <c r="M28" s="164">
        <v>36</v>
      </c>
      <c r="N28" s="163">
        <v>0</v>
      </c>
      <c r="O28" s="76"/>
      <c r="P28" s="75">
        <f t="shared" si="0"/>
        <v>0</v>
      </c>
      <c r="Q28" s="217"/>
      <c r="R28" s="11">
        <f t="shared" si="1"/>
        <v>0</v>
      </c>
      <c r="S28" s="106"/>
      <c r="T28" s="5"/>
      <c r="U28" s="282">
        <f t="shared" si="2"/>
        <v>43611</v>
      </c>
      <c r="V28" s="170">
        <v>1</v>
      </c>
      <c r="W28" s="281">
        <v>7</v>
      </c>
      <c r="X28" s="33" t="s">
        <v>154</v>
      </c>
    </row>
    <row r="29" spans="1:29">
      <c r="H29" s="83"/>
      <c r="I29" s="269" t="s">
        <v>214</v>
      </c>
      <c r="J29" s="270" t="s">
        <v>215</v>
      </c>
      <c r="K29" s="271"/>
      <c r="L29" s="272">
        <v>0</v>
      </c>
      <c r="M29" s="271"/>
      <c r="N29" s="272">
        <f>3*M29</f>
        <v>0</v>
      </c>
      <c r="O29" s="271">
        <v>35</v>
      </c>
      <c r="P29" s="272">
        <f t="shared" si="0"/>
        <v>150</v>
      </c>
      <c r="Q29" s="273"/>
      <c r="R29" s="272">
        <f t="shared" si="1"/>
        <v>150</v>
      </c>
      <c r="S29" s="274"/>
      <c r="T29" s="5"/>
      <c r="U29" s="282">
        <f t="shared" si="2"/>
        <v>43612</v>
      </c>
      <c r="V29" s="170">
        <v>1</v>
      </c>
      <c r="W29" s="281">
        <v>3</v>
      </c>
      <c r="X29" s="175" t="s">
        <v>155</v>
      </c>
    </row>
    <row r="30" spans="1:29">
      <c r="A30" s="237"/>
      <c r="B30" s="237"/>
      <c r="C30" s="237"/>
      <c r="D30" s="238"/>
      <c r="E30" s="237"/>
      <c r="F30" s="239"/>
      <c r="G30" s="237"/>
      <c r="H30" s="142"/>
      <c r="I30" s="25" t="s">
        <v>45</v>
      </c>
      <c r="J30" s="96" t="s">
        <v>133</v>
      </c>
      <c r="K30" s="29"/>
      <c r="L30" s="27">
        <f>+K30*3</f>
        <v>0</v>
      </c>
      <c r="M30" s="164"/>
      <c r="N30" s="163">
        <f>+M30*3</f>
        <v>0</v>
      </c>
      <c r="O30" s="28"/>
      <c r="P30" s="11">
        <f t="shared" si="0"/>
        <v>0</v>
      </c>
      <c r="Q30" s="218"/>
      <c r="R30" s="240">
        <f t="shared" si="1"/>
        <v>0</v>
      </c>
      <c r="S30" s="241"/>
      <c r="T30" s="5"/>
      <c r="U30" s="282">
        <f t="shared" si="2"/>
        <v>43613</v>
      </c>
      <c r="V30" s="170">
        <v>1</v>
      </c>
      <c r="W30" s="281">
        <v>2</v>
      </c>
      <c r="X30" s="61"/>
    </row>
    <row r="31" spans="1:29">
      <c r="A31" s="215"/>
      <c r="H31" s="142"/>
      <c r="I31" s="25" t="s">
        <v>13</v>
      </c>
      <c r="J31" s="81" t="s">
        <v>121</v>
      </c>
      <c r="K31" s="228"/>
      <c r="L31" s="227">
        <f>3*K31</f>
        <v>0</v>
      </c>
      <c r="M31" s="164"/>
      <c r="N31" s="163">
        <v>0</v>
      </c>
      <c r="O31" s="28">
        <v>43</v>
      </c>
      <c r="P31" s="75">
        <f t="shared" si="0"/>
        <v>150</v>
      </c>
      <c r="Q31" s="218"/>
      <c r="R31" s="57">
        <f t="shared" si="1"/>
        <v>150</v>
      </c>
      <c r="S31" s="107"/>
      <c r="T31" s="5"/>
      <c r="U31" s="282">
        <f t="shared" si="2"/>
        <v>43614</v>
      </c>
      <c r="V31" s="170">
        <v>1</v>
      </c>
      <c r="W31" s="281">
        <v>4</v>
      </c>
      <c r="X31" s="61"/>
    </row>
    <row r="32" spans="1:29">
      <c r="A32" s="215"/>
      <c r="H32" s="187" t="s">
        <v>250</v>
      </c>
      <c r="I32" s="188" t="s">
        <v>31</v>
      </c>
      <c r="J32" s="242" t="s">
        <v>127</v>
      </c>
      <c r="K32" s="192"/>
      <c r="L32" s="193">
        <v>0</v>
      </c>
      <c r="M32" s="192">
        <v>10</v>
      </c>
      <c r="N32" s="193">
        <v>0</v>
      </c>
      <c r="O32" s="192"/>
      <c r="P32" s="193">
        <f t="shared" si="0"/>
        <v>0</v>
      </c>
      <c r="Q32" s="221"/>
      <c r="R32" s="193">
        <f t="shared" si="1"/>
        <v>0</v>
      </c>
      <c r="S32" s="197"/>
      <c r="T32" s="5"/>
      <c r="U32" s="282">
        <f t="shared" si="2"/>
        <v>43615</v>
      </c>
      <c r="V32" s="170">
        <v>1</v>
      </c>
      <c r="W32" s="281">
        <v>5</v>
      </c>
      <c r="X32" s="65"/>
      <c r="AC32">
        <v>4</v>
      </c>
    </row>
    <row r="33" spans="1:29">
      <c r="A33" s="215"/>
      <c r="H33" s="187" t="s">
        <v>250</v>
      </c>
      <c r="I33" s="188" t="s">
        <v>30</v>
      </c>
      <c r="J33" s="242" t="s">
        <v>126</v>
      </c>
      <c r="K33" s="192"/>
      <c r="L33" s="193">
        <f>+K33*3</f>
        <v>0</v>
      </c>
      <c r="M33" s="192"/>
      <c r="N33" s="193">
        <f>+M33*3</f>
        <v>0</v>
      </c>
      <c r="O33" s="192">
        <v>39</v>
      </c>
      <c r="P33" s="193">
        <f t="shared" si="0"/>
        <v>150</v>
      </c>
      <c r="Q33" s="221"/>
      <c r="R33" s="193">
        <f t="shared" si="1"/>
        <v>150</v>
      </c>
      <c r="S33" s="197"/>
      <c r="T33" s="5"/>
      <c r="U33" s="282">
        <f t="shared" si="2"/>
        <v>43616</v>
      </c>
      <c r="V33" s="170">
        <v>1</v>
      </c>
      <c r="W33" s="281">
        <v>3</v>
      </c>
      <c r="X33" s="66"/>
      <c r="Z33">
        <v>186.44069999999999</v>
      </c>
      <c r="AA33">
        <f>+Z33*0.18</f>
        <v>33.559325999999999</v>
      </c>
      <c r="AB33">
        <f>+Z33+AA33</f>
        <v>220.00002599999999</v>
      </c>
      <c r="AC33">
        <f>+AB33*AC32</f>
        <v>880.00010399999996</v>
      </c>
    </row>
    <row r="34" spans="1:29" s="4" customFormat="1">
      <c r="A34" s="215"/>
      <c r="B34"/>
      <c r="C34"/>
      <c r="D34" s="1"/>
      <c r="E34"/>
      <c r="F34" s="2"/>
      <c r="G34"/>
      <c r="H34" s="83"/>
      <c r="I34" s="269" t="s">
        <v>186</v>
      </c>
      <c r="J34" s="270" t="s">
        <v>187</v>
      </c>
      <c r="K34" s="271"/>
      <c r="L34" s="272">
        <v>0</v>
      </c>
      <c r="M34" s="271"/>
      <c r="N34" s="272">
        <v>0</v>
      </c>
      <c r="O34" s="271">
        <v>41</v>
      </c>
      <c r="P34" s="272">
        <f t="shared" si="0"/>
        <v>150</v>
      </c>
      <c r="Q34" s="273"/>
      <c r="R34" s="272">
        <f t="shared" si="1"/>
        <v>150</v>
      </c>
      <c r="S34" s="274"/>
      <c r="T34" s="5"/>
      <c r="U34" s="282">
        <f t="shared" si="2"/>
        <v>43617</v>
      </c>
      <c r="V34" s="170">
        <v>0.5</v>
      </c>
      <c r="W34" s="281">
        <v>3</v>
      </c>
      <c r="X34" s="68"/>
      <c r="Z34" s="4">
        <v>206.44069999999999</v>
      </c>
      <c r="AA34">
        <f>+Z34*0.18</f>
        <v>37.159326</v>
      </c>
      <c r="AB34">
        <f>+Z34+AA34</f>
        <v>243.60002599999999</v>
      </c>
      <c r="AC34" s="4">
        <f>+AB34*AC32</f>
        <v>974.40010399999994</v>
      </c>
    </row>
    <row r="35" spans="1:29">
      <c r="A35" s="215"/>
      <c r="H35" s="83"/>
      <c r="I35" s="25" t="s">
        <v>17</v>
      </c>
      <c r="J35" s="81" t="s">
        <v>123</v>
      </c>
      <c r="K35" s="228"/>
      <c r="L35" s="227">
        <f>+K35*3</f>
        <v>0</v>
      </c>
      <c r="M35" s="164"/>
      <c r="N35" s="163">
        <v>0</v>
      </c>
      <c r="O35" s="74">
        <v>30</v>
      </c>
      <c r="P35" s="75">
        <f t="shared" si="0"/>
        <v>150</v>
      </c>
      <c r="Q35" s="218"/>
      <c r="R35" s="11">
        <f t="shared" si="1"/>
        <v>150</v>
      </c>
      <c r="S35" s="107"/>
      <c r="T35" s="5"/>
      <c r="U35" s="184"/>
      <c r="V35" s="283">
        <f>SUM(V24:V34)</f>
        <v>10</v>
      </c>
      <c r="W35" s="183" t="s">
        <v>148</v>
      </c>
      <c r="X35" s="69"/>
      <c r="Z35">
        <f>+Z34-Z33</f>
        <v>20</v>
      </c>
      <c r="AA35">
        <f>+AA34-AA33</f>
        <v>3.6000000000000014</v>
      </c>
      <c r="AB35">
        <f>+AB34-AB33</f>
        <v>23.599999999999994</v>
      </c>
      <c r="AC35">
        <f>+AB35*AC32</f>
        <v>94.399999999999977</v>
      </c>
    </row>
    <row r="36" spans="1:29">
      <c r="A36" s="215"/>
      <c r="H36" s="83"/>
      <c r="I36" s="25" t="s">
        <v>60</v>
      </c>
      <c r="J36" s="81" t="s">
        <v>132</v>
      </c>
      <c r="K36" s="228"/>
      <c r="L36" s="227">
        <v>0</v>
      </c>
      <c r="M36" s="164"/>
      <c r="N36" s="163">
        <v>0</v>
      </c>
      <c r="O36" s="74"/>
      <c r="P36" s="75">
        <f>IF(O36&gt;25,150,(O36)*6)</f>
        <v>0</v>
      </c>
      <c r="Q36" s="218"/>
      <c r="R36" s="11">
        <f>+L36+N36+P36+Q36</f>
        <v>0</v>
      </c>
      <c r="S36" s="107"/>
      <c r="T36" s="5"/>
      <c r="U36" s="184"/>
      <c r="V36" s="171">
        <f>SUM(W24:W34)</f>
        <v>42</v>
      </c>
      <c r="W36" s="185" t="s">
        <v>149</v>
      </c>
      <c r="X36" s="65"/>
    </row>
    <row r="37" spans="1:29" ht="16.5">
      <c r="H37" s="142"/>
      <c r="I37" s="25" t="s">
        <v>233</v>
      </c>
      <c r="J37" s="81" t="s">
        <v>234</v>
      </c>
      <c r="K37" s="228"/>
      <c r="L37" s="227">
        <v>0</v>
      </c>
      <c r="M37" s="164">
        <v>32</v>
      </c>
      <c r="N37" s="163">
        <v>0</v>
      </c>
      <c r="O37" s="28"/>
      <c r="P37" s="75">
        <f t="shared" si="0"/>
        <v>0</v>
      </c>
      <c r="Q37" s="218">
        <v>10</v>
      </c>
      <c r="R37" s="57">
        <f t="shared" si="1"/>
        <v>10</v>
      </c>
      <c r="S37" s="107"/>
      <c r="T37" s="5"/>
      <c r="U37" s="186" t="s">
        <v>160</v>
      </c>
      <c r="V37" s="284">
        <f>+V36/V35</f>
        <v>4.2</v>
      </c>
      <c r="W37" s="173" t="s">
        <v>150</v>
      </c>
    </row>
    <row r="38" spans="1:29">
      <c r="A38" s="215"/>
      <c r="H38" s="142"/>
      <c r="I38" s="25" t="s">
        <v>8</v>
      </c>
      <c r="J38" s="81" t="s">
        <v>120</v>
      </c>
      <c r="K38" s="228"/>
      <c r="L38" s="227">
        <v>0</v>
      </c>
      <c r="M38" s="164">
        <v>32</v>
      </c>
      <c r="N38" s="163">
        <v>0</v>
      </c>
      <c r="O38" s="28"/>
      <c r="P38" s="75">
        <f t="shared" si="0"/>
        <v>0</v>
      </c>
      <c r="Q38" s="218">
        <v>10</v>
      </c>
      <c r="R38" s="57">
        <f t="shared" si="1"/>
        <v>10</v>
      </c>
      <c r="S38" s="107"/>
      <c r="T38" s="5"/>
      <c r="U38" s="58"/>
      <c r="V38" s="59"/>
      <c r="W38" s="60"/>
      <c r="X38" s="61"/>
    </row>
    <row r="39" spans="1:29">
      <c r="A39" s="215"/>
      <c r="H39" s="83"/>
      <c r="I39" s="25" t="s">
        <v>11</v>
      </c>
      <c r="J39" s="96" t="s">
        <v>130</v>
      </c>
      <c r="K39" s="228"/>
      <c r="L39" s="227">
        <f>+K39*3</f>
        <v>0</v>
      </c>
      <c r="M39" s="164"/>
      <c r="N39" s="163">
        <f>+M39*3</f>
        <v>0</v>
      </c>
      <c r="O39" s="74">
        <v>33</v>
      </c>
      <c r="P39" s="75">
        <f t="shared" si="0"/>
        <v>150</v>
      </c>
      <c r="Q39" s="220"/>
      <c r="R39" s="11">
        <f t="shared" si="1"/>
        <v>150</v>
      </c>
      <c r="S39" s="107"/>
      <c r="T39" s="5"/>
      <c r="U39" s="58"/>
      <c r="V39" s="66"/>
      <c r="W39" s="67"/>
      <c r="X39" s="63"/>
    </row>
    <row r="40" spans="1:29">
      <c r="H40" s="83"/>
      <c r="I40" s="25" t="s">
        <v>44</v>
      </c>
      <c r="J40" s="96" t="s">
        <v>124</v>
      </c>
      <c r="K40" s="228"/>
      <c r="L40" s="227">
        <f>+K40*3</f>
        <v>0</v>
      </c>
      <c r="M40" s="164"/>
      <c r="N40" s="163">
        <f>+M40*3</f>
        <v>0</v>
      </c>
      <c r="O40" s="113"/>
      <c r="P40" s="75">
        <f t="shared" si="0"/>
        <v>0</v>
      </c>
      <c r="Q40" s="218"/>
      <c r="R40" s="11">
        <f t="shared" si="1"/>
        <v>0</v>
      </c>
      <c r="S40" s="107"/>
      <c r="T40" s="5"/>
      <c r="U40" s="64"/>
      <c r="V40" s="59"/>
      <c r="W40" s="60"/>
      <c r="X40" s="66"/>
    </row>
    <row r="41" spans="1:29">
      <c r="H41" s="83"/>
      <c r="I41" s="25" t="s">
        <v>6</v>
      </c>
      <c r="J41" s="96" t="s">
        <v>116</v>
      </c>
      <c r="K41" s="228"/>
      <c r="L41" s="227">
        <f>+K41*3</f>
        <v>0</v>
      </c>
      <c r="M41" s="164"/>
      <c r="N41" s="163">
        <f>+M41*3</f>
        <v>0</v>
      </c>
      <c r="O41" s="74"/>
      <c r="P41" s="75">
        <f t="shared" si="0"/>
        <v>0</v>
      </c>
      <c r="Q41" s="220"/>
      <c r="R41" s="11">
        <f t="shared" si="1"/>
        <v>0</v>
      </c>
      <c r="S41" s="107"/>
      <c r="T41" s="5"/>
      <c r="U41" s="58"/>
      <c r="V41" s="59"/>
      <c r="W41" s="60"/>
      <c r="X41" s="65"/>
    </row>
    <row r="42" spans="1:29">
      <c r="H42" s="95"/>
      <c r="I42" s="25" t="s">
        <v>53</v>
      </c>
      <c r="J42" s="81" t="s">
        <v>135</v>
      </c>
      <c r="K42" s="228"/>
      <c r="L42" s="227">
        <v>0</v>
      </c>
      <c r="M42" s="164"/>
      <c r="N42" s="163">
        <v>0</v>
      </c>
      <c r="O42" s="28">
        <v>34</v>
      </c>
      <c r="P42" s="75">
        <f t="shared" si="0"/>
        <v>150</v>
      </c>
      <c r="Q42" s="218"/>
      <c r="R42" s="11">
        <f t="shared" si="1"/>
        <v>150</v>
      </c>
      <c r="S42" s="107"/>
      <c r="T42" s="5"/>
      <c r="U42" s="58"/>
      <c r="V42" s="59"/>
      <c r="W42" s="60"/>
      <c r="X42" s="65"/>
    </row>
    <row r="43" spans="1:29">
      <c r="H43" s="81"/>
      <c r="I43" s="120" t="s">
        <v>12</v>
      </c>
      <c r="J43" s="150" t="s">
        <v>114</v>
      </c>
      <c r="K43" s="232"/>
      <c r="L43" s="233">
        <v>0</v>
      </c>
      <c r="M43" s="165"/>
      <c r="N43" s="166">
        <f>2.85*M43</f>
        <v>0</v>
      </c>
      <c r="O43" s="122">
        <v>36</v>
      </c>
      <c r="P43" s="147">
        <f t="shared" si="0"/>
        <v>150</v>
      </c>
      <c r="Q43" s="222"/>
      <c r="R43" s="124">
        <f t="shared" si="1"/>
        <v>150</v>
      </c>
      <c r="S43" s="148"/>
      <c r="T43" s="5"/>
      <c r="U43" s="58"/>
      <c r="V43" s="59"/>
      <c r="W43" s="60"/>
      <c r="X43" s="61"/>
    </row>
    <row r="44" spans="1:29">
      <c r="I44" s="13"/>
      <c r="J44" s="14"/>
      <c r="K44" s="234">
        <f t="shared" ref="K44:S44" si="3">SUM(K5:K43)</f>
        <v>0</v>
      </c>
      <c r="L44" s="235">
        <f t="shared" si="3"/>
        <v>0</v>
      </c>
      <c r="M44" s="167">
        <f t="shared" si="3"/>
        <v>302</v>
      </c>
      <c r="N44" s="168">
        <f t="shared" si="3"/>
        <v>126</v>
      </c>
      <c r="O44" s="77">
        <f t="shared" si="3"/>
        <v>722</v>
      </c>
      <c r="P44" s="78">
        <f t="shared" si="3"/>
        <v>2970</v>
      </c>
      <c r="Q44" s="223">
        <f t="shared" si="3"/>
        <v>60</v>
      </c>
      <c r="R44" s="78">
        <f t="shared" si="3"/>
        <v>3156</v>
      </c>
      <c r="S44" s="102">
        <f t="shared" si="3"/>
        <v>0</v>
      </c>
      <c r="T44" s="5"/>
      <c r="U44" s="58"/>
      <c r="V44" s="59"/>
      <c r="W44" s="60"/>
      <c r="X44" s="61"/>
    </row>
    <row r="45" spans="1:29">
      <c r="J45" s="200">
        <f ca="1">TODAY()</f>
        <v>43825</v>
      </c>
      <c r="K45" s="41"/>
      <c r="M45" s="42"/>
      <c r="N45" s="41"/>
      <c r="O45" s="45" t="s">
        <v>81</v>
      </c>
      <c r="Q45" s="42"/>
      <c r="R45" s="45">
        <f>+R15+R16+R21+R24+R32+R33</f>
        <v>320</v>
      </c>
      <c r="T45" s="5"/>
      <c r="U45" s="58"/>
      <c r="V45" s="59"/>
      <c r="W45" s="62"/>
      <c r="X45" s="65"/>
    </row>
    <row r="46" spans="1:29">
      <c r="L46" s="43"/>
      <c r="M46" s="44"/>
      <c r="N46" s="125"/>
      <c r="O46" s="43" t="s">
        <v>91</v>
      </c>
      <c r="P46" s="114"/>
      <c r="Q46" s="110" t="s">
        <v>58</v>
      </c>
      <c r="R46" s="111">
        <f>+R44-R45</f>
        <v>2836</v>
      </c>
      <c r="S46" s="109"/>
      <c r="T46" s="5"/>
      <c r="U46" s="58"/>
      <c r="V46" s="59"/>
      <c r="W46" s="67"/>
      <c r="X46" s="60"/>
    </row>
    <row r="47" spans="1:29" ht="3.95" customHeight="1">
      <c r="P47" s="19"/>
      <c r="U47" s="58"/>
      <c r="V47" s="59"/>
      <c r="W47" s="60"/>
      <c r="X47" s="60"/>
    </row>
    <row r="48" spans="1:29">
      <c r="I48" s="254" t="s">
        <v>259</v>
      </c>
      <c r="P48" s="19"/>
      <c r="U48" s="58"/>
      <c r="V48" s="59"/>
      <c r="W48" s="60"/>
      <c r="X48" s="68"/>
    </row>
    <row r="49" spans="9:24">
      <c r="I49" s="255" t="s">
        <v>260</v>
      </c>
      <c r="P49" s="19"/>
      <c r="U49" s="58"/>
      <c r="V49" s="59"/>
      <c r="W49" s="60"/>
      <c r="X49" s="69"/>
    </row>
    <row r="50" spans="9:24">
      <c r="I50" s="254" t="s">
        <v>261</v>
      </c>
      <c r="P50" s="19"/>
      <c r="U50" s="58"/>
      <c r="V50" s="59"/>
      <c r="W50" s="60"/>
      <c r="X50" s="60"/>
    </row>
    <row r="51" spans="9:24">
      <c r="I51" s="254" t="s">
        <v>262</v>
      </c>
      <c r="P51" s="19"/>
      <c r="U51" s="58"/>
      <c r="V51" s="59"/>
      <c r="W51" s="60"/>
      <c r="X51" s="60"/>
    </row>
    <row r="52" spans="9:24">
      <c r="I52" s="254" t="s">
        <v>263</v>
      </c>
      <c r="P52" s="19"/>
      <c r="U52" s="58"/>
      <c r="V52" s="59"/>
      <c r="W52" s="62"/>
      <c r="X52" s="60"/>
    </row>
    <row r="53" spans="9:24">
      <c r="I53" s="254" t="s">
        <v>264</v>
      </c>
      <c r="U53" s="58"/>
      <c r="V53" s="59"/>
      <c r="W53" s="62"/>
      <c r="X53" s="60"/>
    </row>
    <row r="54" spans="9:24" ht="3.95" customHeight="1">
      <c r="I54" s="254" t="s">
        <v>265</v>
      </c>
      <c r="P54" s="19"/>
      <c r="U54" s="64"/>
      <c r="V54" s="59"/>
      <c r="W54" s="60"/>
      <c r="X54" s="60"/>
    </row>
    <row r="55" spans="9:24">
      <c r="U55" s="58"/>
      <c r="V55" s="66"/>
      <c r="W55" s="67"/>
      <c r="X55" s="60"/>
    </row>
    <row r="56" spans="9:24">
      <c r="U56" s="60"/>
      <c r="V56" s="59"/>
      <c r="W56" s="60"/>
    </row>
    <row r="57" spans="9:24">
      <c r="U57" s="60"/>
      <c r="V57" s="59"/>
      <c r="W57" s="60"/>
    </row>
    <row r="58" spans="9:24">
      <c r="U58" s="60"/>
      <c r="V58" s="59"/>
      <c r="W58" s="60"/>
    </row>
    <row r="59" spans="9:24">
      <c r="U59" s="60"/>
      <c r="V59" s="59"/>
      <c r="W59" s="60"/>
    </row>
    <row r="60" spans="9:24">
      <c r="U60" s="60"/>
      <c r="V60" s="59"/>
      <c r="W60" s="60"/>
    </row>
    <row r="61" spans="9:24">
      <c r="U61" s="60"/>
      <c r="V61" s="59"/>
      <c r="W61" s="60"/>
    </row>
  </sheetData>
  <mergeCells count="5">
    <mergeCell ref="I2:R2"/>
    <mergeCell ref="K3:N3"/>
    <mergeCell ref="O3:P3"/>
    <mergeCell ref="T3:V3"/>
    <mergeCell ref="Y3:AA3"/>
  </mergeCells>
  <conditionalFormatting sqref="R5">
    <cfRule type="cellIs" dxfId="56" priority="2" operator="lessThanOrEqual">
      <formula>0</formula>
    </cfRule>
  </conditionalFormatting>
  <conditionalFormatting sqref="R5:R43">
    <cfRule type="cellIs" dxfId="55" priority="1" operator="greaterThan">
      <formula>0</formula>
    </cfRule>
  </conditionalFormatting>
  <printOptions horizontalCentered="1"/>
  <pageMargins left="0" right="0" top="0.51181102362204722" bottom="0" header="0" footer="0"/>
  <pageSetup paperSize="9" scale="98" orientation="portrait" r:id="rId1"/>
  <ignoredErrors>
    <ignoredError sqref="L18:N26" 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55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K5" sqref="K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5.140625" customWidth="1"/>
    <col min="9" max="9" width="7.140625" customWidth="1"/>
    <col min="10" max="10" width="29.28515625" customWidth="1"/>
    <col min="11" max="11" width="1.7109375" customWidth="1"/>
    <col min="12" max="12" width="1.5703125" customWidth="1"/>
    <col min="13" max="13" width="5.7109375" customWidth="1"/>
    <col min="14" max="14" width="11.28515625" customWidth="1"/>
    <col min="15" max="15" width="6.140625" customWidth="1"/>
    <col min="16" max="16" width="11.42578125" customWidth="1"/>
    <col min="17" max="17" width="6.42578125" customWidth="1"/>
    <col min="18" max="18" width="13.85546875" customWidth="1"/>
    <col min="19" max="19" width="2.14062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7" ht="5.0999999999999996" customHeight="1"/>
    <row r="2" spans="8:27">
      <c r="H2" s="83"/>
      <c r="I2" s="439" t="s">
        <v>266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7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7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198" t="s">
        <v>269</v>
      </c>
      <c r="O4" s="87" t="s">
        <v>15</v>
      </c>
      <c r="P4" s="87" t="s">
        <v>268</v>
      </c>
      <c r="Q4" s="99" t="s">
        <v>267</v>
      </c>
      <c r="R4" s="88" t="s">
        <v>103</v>
      </c>
      <c r="S4" s="139" t="s">
        <v>104</v>
      </c>
      <c r="T4" s="89"/>
      <c r="U4" s="83"/>
      <c r="V4" s="83"/>
    </row>
    <row r="5" spans="8:27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f>+M5*3</f>
        <v>0</v>
      </c>
      <c r="O5" s="76"/>
      <c r="P5" s="75">
        <f t="shared" ref="P5:P43" si="0">IF(O5&gt;25,150,(O5)*6)</f>
        <v>0</v>
      </c>
      <c r="Q5" s="217"/>
      <c r="R5" s="11">
        <f t="shared" ref="R5:R43" si="1">+L5+N5+P5+Q5</f>
        <v>0</v>
      </c>
      <c r="S5" s="106"/>
      <c r="T5" s="5"/>
      <c r="U5" s="258">
        <v>798.8</v>
      </c>
      <c r="V5" s="259">
        <v>103.44</v>
      </c>
      <c r="W5" s="260">
        <v>695.36</v>
      </c>
      <c r="X5" s="265" t="s">
        <v>110</v>
      </c>
      <c r="Y5" s="266"/>
    </row>
    <row r="6" spans="8:27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261">
        <v>720</v>
      </c>
      <c r="V6" s="256">
        <f>+V5*U6/U5</f>
        <v>93.235853780671022</v>
      </c>
      <c r="W6" s="257">
        <f>+U6-V6</f>
        <v>626.76414621932895</v>
      </c>
      <c r="X6" s="36"/>
    </row>
    <row r="7" spans="8:27">
      <c r="H7" s="83"/>
      <c r="I7" s="126" t="s">
        <v>64</v>
      </c>
      <c r="J7" s="80" t="s">
        <v>138</v>
      </c>
      <c r="K7" s="226"/>
      <c r="L7" s="227">
        <f>+K7*3</f>
        <v>0</v>
      </c>
      <c r="M7" s="162"/>
      <c r="N7" s="163">
        <v>0</v>
      </c>
      <c r="O7" s="76"/>
      <c r="P7" s="75">
        <f t="shared" si="0"/>
        <v>0</v>
      </c>
      <c r="Q7" s="217"/>
      <c r="R7" s="11">
        <f t="shared" si="1"/>
        <v>0</v>
      </c>
      <c r="S7" s="106"/>
      <c r="T7" s="5"/>
      <c r="U7" s="32">
        <f>+U5-U6</f>
        <v>78.799999999999955</v>
      </c>
      <c r="V7" s="47"/>
      <c r="W7" s="33"/>
      <c r="X7" s="262" t="s">
        <v>59</v>
      </c>
      <c r="AA7">
        <v>220</v>
      </c>
    </row>
    <row r="8" spans="8:27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/>
      <c r="P8" s="75">
        <f t="shared" si="0"/>
        <v>0</v>
      </c>
      <c r="Q8" s="217"/>
      <c r="R8" s="11">
        <f t="shared" si="1"/>
        <v>0</v>
      </c>
      <c r="S8" s="138"/>
      <c r="T8" s="5"/>
      <c r="U8" s="34">
        <v>150</v>
      </c>
      <c r="V8" s="38">
        <f>+U8-U7</f>
        <v>71.200000000000045</v>
      </c>
      <c r="W8" s="39" t="s">
        <v>63</v>
      </c>
      <c r="X8" s="263">
        <f>150-V8</f>
        <v>78.799999999999955</v>
      </c>
      <c r="AA8">
        <v>220</v>
      </c>
    </row>
    <row r="9" spans="8:27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/>
      <c r="P9" s="75">
        <f t="shared" si="0"/>
        <v>0</v>
      </c>
      <c r="Q9" s="218"/>
      <c r="R9" s="11">
        <f t="shared" si="1"/>
        <v>0</v>
      </c>
      <c r="S9" s="107"/>
      <c r="T9" s="5"/>
      <c r="U9" s="10"/>
      <c r="X9" s="37"/>
      <c r="AA9">
        <v>140</v>
      </c>
    </row>
    <row r="10" spans="8:27" ht="15" customHeight="1">
      <c r="H10" s="95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28"/>
      <c r="P10" s="75">
        <f t="shared" si="0"/>
        <v>0</v>
      </c>
      <c r="Q10" s="218"/>
      <c r="R10" s="11">
        <f t="shared" si="1"/>
        <v>0</v>
      </c>
      <c r="S10" s="197"/>
      <c r="T10" s="5"/>
      <c r="U10" s="258">
        <v>728.8</v>
      </c>
      <c r="V10" s="259">
        <v>103.44</v>
      </c>
      <c r="W10" s="260">
        <v>695.36</v>
      </c>
      <c r="X10" s="264" t="s">
        <v>35</v>
      </c>
      <c r="Y10" s="266"/>
      <c r="AA10">
        <v>40</v>
      </c>
    </row>
    <row r="11" spans="8:27">
      <c r="H11" s="141"/>
      <c r="I11" s="126" t="s">
        <v>56</v>
      </c>
      <c r="J11" s="80" t="s">
        <v>136</v>
      </c>
      <c r="K11" s="226"/>
      <c r="L11" s="227">
        <v>0</v>
      </c>
      <c r="M11" s="162"/>
      <c r="N11" s="163">
        <f>2.7*M11</f>
        <v>0</v>
      </c>
      <c r="O11" s="74"/>
      <c r="P11" s="75">
        <f t="shared" si="0"/>
        <v>0</v>
      </c>
      <c r="Q11" s="217"/>
      <c r="R11" s="9">
        <f t="shared" si="1"/>
        <v>0</v>
      </c>
      <c r="S11" s="107"/>
      <c r="T11" s="5"/>
      <c r="U11" s="261">
        <v>720</v>
      </c>
      <c r="V11" s="256">
        <f>+V10*U11/U10</f>
        <v>102.19099890230517</v>
      </c>
      <c r="W11" s="257">
        <f>+U11-V11</f>
        <v>617.80900109769482</v>
      </c>
      <c r="X11" s="37"/>
      <c r="AA11">
        <v>55</v>
      </c>
    </row>
    <row r="12" spans="8:27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/>
      <c r="P12" s="75">
        <f t="shared" si="0"/>
        <v>0</v>
      </c>
      <c r="Q12" s="218"/>
      <c r="R12" s="9">
        <f t="shared" si="1"/>
        <v>0</v>
      </c>
      <c r="S12" s="106"/>
      <c r="T12" s="5"/>
      <c r="U12" s="32">
        <f>+U10-U11</f>
        <v>8.7999999999999545</v>
      </c>
      <c r="V12" s="47"/>
      <c r="W12" s="33"/>
      <c r="X12" s="262" t="s">
        <v>59</v>
      </c>
      <c r="AA12">
        <v>80</v>
      </c>
    </row>
    <row r="13" spans="8:27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141.20000000000005</v>
      </c>
      <c r="W13" s="39" t="s">
        <v>63</v>
      </c>
      <c r="X13" s="263">
        <f>150-V13</f>
        <v>8.7999999999999545</v>
      </c>
      <c r="AA13">
        <v>70</v>
      </c>
    </row>
    <row r="14" spans="8:27">
      <c r="H14" s="95"/>
      <c r="I14" s="25" t="s">
        <v>20</v>
      </c>
      <c r="J14" s="81" t="s">
        <v>195</v>
      </c>
      <c r="K14" s="228"/>
      <c r="L14" s="227">
        <f>+K14*3</f>
        <v>0</v>
      </c>
      <c r="M14" s="164"/>
      <c r="N14" s="163">
        <f>+M14*3</f>
        <v>0</v>
      </c>
      <c r="O14" s="28"/>
      <c r="P14" s="75">
        <f t="shared" si="0"/>
        <v>0</v>
      </c>
      <c r="Q14" s="218"/>
      <c r="R14" s="9">
        <f t="shared" si="1"/>
        <v>0</v>
      </c>
      <c r="S14" s="107"/>
      <c r="T14" s="5"/>
      <c r="U14" s="10"/>
      <c r="X14" s="37"/>
      <c r="AA14">
        <f>SUM(AA7:AA13)</f>
        <v>825</v>
      </c>
    </row>
    <row r="15" spans="8:27">
      <c r="H15" s="251" t="s">
        <v>50</v>
      </c>
      <c r="I15" s="275" t="s">
        <v>272</v>
      </c>
      <c r="J15" s="276" t="s">
        <v>271</v>
      </c>
      <c r="K15" s="277"/>
      <c r="L15" s="278">
        <v>0</v>
      </c>
      <c r="M15" s="277"/>
      <c r="N15" s="278">
        <f>3*M15</f>
        <v>0</v>
      </c>
      <c r="O15" s="277"/>
      <c r="P15" s="278">
        <f t="shared" si="0"/>
        <v>0</v>
      </c>
      <c r="Q15" s="279"/>
      <c r="R15" s="278">
        <f t="shared" si="1"/>
        <v>0</v>
      </c>
      <c r="S15" s="280"/>
      <c r="T15" s="5"/>
      <c r="U15" s="258">
        <v>744</v>
      </c>
      <c r="V15" s="259">
        <v>96.72</v>
      </c>
      <c r="W15" s="260">
        <v>647.28</v>
      </c>
      <c r="X15" s="100"/>
      <c r="Y15" s="266"/>
    </row>
    <row r="16" spans="8:27">
      <c r="H16" s="187" t="s">
        <v>232</v>
      </c>
      <c r="I16" s="188" t="s">
        <v>25</v>
      </c>
      <c r="J16" s="242" t="s">
        <v>118</v>
      </c>
      <c r="K16" s="192"/>
      <c r="L16" s="193">
        <f>+K16*3</f>
        <v>0</v>
      </c>
      <c r="M16" s="192"/>
      <c r="N16" s="193">
        <f>+M16*3</f>
        <v>0</v>
      </c>
      <c r="O16" s="192"/>
      <c r="P16" s="193">
        <f t="shared" si="0"/>
        <v>0</v>
      </c>
      <c r="Q16" s="221"/>
      <c r="R16" s="193">
        <f t="shared" si="1"/>
        <v>0</v>
      </c>
      <c r="S16" s="197"/>
      <c r="T16" s="5"/>
      <c r="U16" s="261">
        <v>720</v>
      </c>
      <c r="V16" s="256">
        <f>+V15*U16/U15</f>
        <v>93.6</v>
      </c>
      <c r="W16" s="257">
        <f>+U16-V16</f>
        <v>626.4</v>
      </c>
      <c r="X16" s="37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164"/>
      <c r="N17" s="163">
        <f>+M17*3</f>
        <v>0</v>
      </c>
      <c r="O17" s="28"/>
      <c r="P17" s="75">
        <f t="shared" si="0"/>
        <v>0</v>
      </c>
      <c r="Q17" s="218"/>
      <c r="R17" s="11">
        <f t="shared" si="1"/>
        <v>0</v>
      </c>
      <c r="S17" s="107"/>
      <c r="T17" s="5"/>
      <c r="U17" s="32">
        <f>+U15-U16</f>
        <v>24</v>
      </c>
      <c r="V17" s="47"/>
      <c r="W17" s="33"/>
      <c r="X17" s="262" t="s">
        <v>59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162"/>
      <c r="N18" s="163">
        <f>5*M18</f>
        <v>0</v>
      </c>
      <c r="O18" s="76"/>
      <c r="P18" s="75">
        <f t="shared" si="0"/>
        <v>0</v>
      </c>
      <c r="Q18" s="217"/>
      <c r="R18" s="11">
        <f t="shared" si="1"/>
        <v>0</v>
      </c>
      <c r="S18" s="106"/>
      <c r="T18" s="5"/>
      <c r="U18" s="34">
        <v>150</v>
      </c>
      <c r="V18" s="38">
        <f>+U18-U17</f>
        <v>126</v>
      </c>
      <c r="W18" s="39" t="s">
        <v>63</v>
      </c>
      <c r="X18" s="263">
        <f>150-V18</f>
        <v>24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164"/>
      <c r="N19" s="163">
        <f>+M19*3</f>
        <v>0</v>
      </c>
      <c r="O19" s="74"/>
      <c r="P19" s="75">
        <f t="shared" si="0"/>
        <v>0</v>
      </c>
      <c r="Q19" s="217"/>
      <c r="R19" s="9">
        <f t="shared" si="1"/>
        <v>0</v>
      </c>
      <c r="S19" s="107"/>
      <c r="T19" s="5"/>
      <c r="U19" s="10"/>
      <c r="X19" s="37"/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164"/>
      <c r="N20" s="163">
        <v>0</v>
      </c>
      <c r="O20" s="74"/>
      <c r="P20" s="75">
        <f t="shared" si="0"/>
        <v>0</v>
      </c>
      <c r="Q20" s="217"/>
      <c r="R20" s="9">
        <f t="shared" si="1"/>
        <v>0</v>
      </c>
      <c r="S20" s="107"/>
      <c r="T20" s="5"/>
      <c r="U20" s="58"/>
      <c r="V20" s="59"/>
      <c r="W20" s="60"/>
      <c r="X20" s="61"/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277"/>
      <c r="N21" s="278">
        <f>3*M21</f>
        <v>0</v>
      </c>
      <c r="O21" s="277"/>
      <c r="P21" s="278">
        <f t="shared" si="0"/>
        <v>0</v>
      </c>
      <c r="Q21" s="279"/>
      <c r="R21" s="278">
        <f t="shared" si="1"/>
        <v>0</v>
      </c>
      <c r="S21" s="280"/>
      <c r="T21" s="5"/>
      <c r="U21" s="103" t="s">
        <v>161</v>
      </c>
    </row>
    <row r="22" spans="1:29">
      <c r="A22" s="215"/>
      <c r="H22" s="142"/>
      <c r="I22" s="25" t="s">
        <v>4</v>
      </c>
      <c r="J22" s="81" t="s">
        <v>111</v>
      </c>
      <c r="K22" s="228"/>
      <c r="L22" s="227">
        <v>0</v>
      </c>
      <c r="M22" s="164"/>
      <c r="N22" s="163">
        <v>0</v>
      </c>
      <c r="O22" s="28"/>
      <c r="P22" s="75">
        <f t="shared" si="0"/>
        <v>0</v>
      </c>
      <c r="Q22" s="218"/>
      <c r="R22" s="11">
        <f t="shared" si="1"/>
        <v>0</v>
      </c>
      <c r="S22" s="107"/>
      <c r="T22" s="5"/>
      <c r="U22" s="176" t="s">
        <v>158</v>
      </c>
      <c r="V22" s="177" t="s">
        <v>159</v>
      </c>
      <c r="W22" s="178"/>
      <c r="X22" s="174" t="s">
        <v>157</v>
      </c>
    </row>
    <row r="23" spans="1:29">
      <c r="A23" s="215"/>
      <c r="H23" s="142"/>
      <c r="I23" s="25" t="s">
        <v>9</v>
      </c>
      <c r="J23" s="81" t="s">
        <v>128</v>
      </c>
      <c r="K23" s="228"/>
      <c r="L23" s="227">
        <v>0</v>
      </c>
      <c r="M23" s="164"/>
      <c r="N23" s="163">
        <v>0</v>
      </c>
      <c r="O23" s="28"/>
      <c r="P23" s="75">
        <f t="shared" si="0"/>
        <v>0</v>
      </c>
      <c r="Q23" s="218"/>
      <c r="R23" s="57">
        <f t="shared" si="1"/>
        <v>0</v>
      </c>
      <c r="S23" s="107"/>
      <c r="T23" s="5"/>
      <c r="U23" s="176" t="s">
        <v>158</v>
      </c>
      <c r="V23" s="177" t="s">
        <v>159</v>
      </c>
      <c r="W23" s="178"/>
      <c r="X23" s="174" t="s">
        <v>157</v>
      </c>
    </row>
    <row r="24" spans="1:29">
      <c r="A24" s="215"/>
      <c r="H24" s="251" t="s">
        <v>50</v>
      </c>
      <c r="I24" s="252" t="s">
        <v>236</v>
      </c>
      <c r="J24" s="250" t="s">
        <v>235</v>
      </c>
      <c r="K24" s="229"/>
      <c r="L24" s="230">
        <v>0</v>
      </c>
      <c r="M24" s="160"/>
      <c r="N24" s="161">
        <v>0</v>
      </c>
      <c r="O24" s="23"/>
      <c r="P24" s="24">
        <f t="shared" si="0"/>
        <v>0</v>
      </c>
      <c r="Q24" s="219"/>
      <c r="R24" s="24">
        <f t="shared" si="1"/>
        <v>0</v>
      </c>
      <c r="S24" s="108"/>
      <c r="T24" s="5"/>
      <c r="U24" s="179">
        <v>43480</v>
      </c>
      <c r="V24" s="170">
        <v>1</v>
      </c>
      <c r="W24" s="180"/>
      <c r="X24" s="33" t="s">
        <v>156</v>
      </c>
    </row>
    <row r="25" spans="1:29">
      <c r="A25" s="237"/>
      <c r="B25" s="237"/>
      <c r="C25" s="237"/>
      <c r="D25" s="238"/>
      <c r="E25" s="237"/>
      <c r="F25" s="239"/>
      <c r="G25" s="237"/>
      <c r="H25" s="142"/>
      <c r="I25" s="25" t="s">
        <v>51</v>
      </c>
      <c r="J25" s="96" t="s">
        <v>134</v>
      </c>
      <c r="K25" s="29"/>
      <c r="L25" s="27">
        <f>+K25*3</f>
        <v>0</v>
      </c>
      <c r="M25" s="164"/>
      <c r="N25" s="163">
        <f>+M25*3</f>
        <v>0</v>
      </c>
      <c r="O25" s="28"/>
      <c r="P25" s="11">
        <f t="shared" si="0"/>
        <v>0</v>
      </c>
      <c r="Q25" s="218"/>
      <c r="R25" s="240">
        <f t="shared" si="1"/>
        <v>0</v>
      </c>
      <c r="S25" s="241"/>
      <c r="T25" s="5"/>
      <c r="U25" s="179">
        <f>1+U24</f>
        <v>43481</v>
      </c>
      <c r="V25" s="170">
        <v>1</v>
      </c>
      <c r="W25" s="181"/>
      <c r="X25" s="33" t="s">
        <v>151</v>
      </c>
    </row>
    <row r="26" spans="1:29">
      <c r="A26" s="215"/>
      <c r="H26" s="83"/>
      <c r="I26" s="126" t="s">
        <v>61</v>
      </c>
      <c r="J26" s="80" t="s">
        <v>137</v>
      </c>
      <c r="K26" s="226"/>
      <c r="L26" s="227">
        <f>3*K26</f>
        <v>0</v>
      </c>
      <c r="M26" s="162"/>
      <c r="N26" s="163">
        <f>2.85*M26</f>
        <v>0</v>
      </c>
      <c r="O26" s="72"/>
      <c r="P26" s="75">
        <f t="shared" si="0"/>
        <v>0</v>
      </c>
      <c r="Q26" s="217"/>
      <c r="R26" s="11">
        <f t="shared" si="1"/>
        <v>0</v>
      </c>
      <c r="S26" s="106"/>
      <c r="T26" s="5"/>
      <c r="U26" s="179">
        <f>1+U25</f>
        <v>43482</v>
      </c>
      <c r="V26" s="170">
        <v>1</v>
      </c>
      <c r="W26" s="182"/>
      <c r="X26" s="33" t="s">
        <v>152</v>
      </c>
    </row>
    <row r="27" spans="1:29">
      <c r="A27" s="215"/>
      <c r="H27" s="83"/>
      <c r="I27" s="25" t="s">
        <v>14</v>
      </c>
      <c r="J27" s="96" t="s">
        <v>125</v>
      </c>
      <c r="K27" s="228"/>
      <c r="L27" s="227">
        <f>+K27*3</f>
        <v>0</v>
      </c>
      <c r="M27" s="164"/>
      <c r="N27" s="163">
        <v>0</v>
      </c>
      <c r="O27" s="74"/>
      <c r="P27" s="75">
        <f t="shared" si="0"/>
        <v>0</v>
      </c>
      <c r="Q27" s="218"/>
      <c r="R27" s="11">
        <f t="shared" si="1"/>
        <v>0</v>
      </c>
      <c r="S27" s="107"/>
      <c r="T27" s="5"/>
      <c r="U27" s="179">
        <f>1+U26</f>
        <v>43483</v>
      </c>
      <c r="V27" s="170">
        <v>1</v>
      </c>
      <c r="W27" s="181"/>
      <c r="X27" s="33" t="s">
        <v>153</v>
      </c>
    </row>
    <row r="28" spans="1:29">
      <c r="A28" s="215"/>
      <c r="H28" s="83"/>
      <c r="I28" s="126" t="s">
        <v>79</v>
      </c>
      <c r="J28" s="82" t="s">
        <v>110</v>
      </c>
      <c r="K28" s="228"/>
      <c r="L28" s="227">
        <v>0</v>
      </c>
      <c r="M28" s="164"/>
      <c r="N28" s="163">
        <f>3*M28</f>
        <v>0</v>
      </c>
      <c r="O28" s="76"/>
      <c r="P28" s="75">
        <f t="shared" si="0"/>
        <v>0</v>
      </c>
      <c r="Q28" s="217"/>
      <c r="R28" s="11">
        <f t="shared" si="1"/>
        <v>0</v>
      </c>
      <c r="S28" s="106"/>
      <c r="T28" s="5"/>
      <c r="U28" s="179">
        <f>1+U27</f>
        <v>43484</v>
      </c>
      <c r="V28" s="170">
        <v>0.5</v>
      </c>
      <c r="W28" s="183"/>
      <c r="X28" s="33" t="s">
        <v>154</v>
      </c>
    </row>
    <row r="29" spans="1:29">
      <c r="H29" s="83"/>
      <c r="I29" s="269" t="s">
        <v>214</v>
      </c>
      <c r="J29" s="270" t="s">
        <v>215</v>
      </c>
      <c r="K29" s="271"/>
      <c r="L29" s="272">
        <v>0</v>
      </c>
      <c r="M29" s="271"/>
      <c r="N29" s="272">
        <f>3*M29</f>
        <v>0</v>
      </c>
      <c r="O29" s="271"/>
      <c r="P29" s="272">
        <f t="shared" si="0"/>
        <v>0</v>
      </c>
      <c r="Q29" s="273"/>
      <c r="R29" s="272">
        <f t="shared" si="1"/>
        <v>0</v>
      </c>
      <c r="S29" s="274"/>
      <c r="T29" s="5"/>
      <c r="U29" s="184"/>
      <c r="V29" s="170">
        <f>SUM(V24:V28)</f>
        <v>4.5</v>
      </c>
      <c r="W29" s="183" t="s">
        <v>148</v>
      </c>
      <c r="X29" s="175" t="s">
        <v>155</v>
      </c>
    </row>
    <row r="30" spans="1:29">
      <c r="A30" s="237"/>
      <c r="B30" s="237"/>
      <c r="C30" s="237"/>
      <c r="D30" s="238"/>
      <c r="E30" s="237"/>
      <c r="F30" s="239"/>
      <c r="G30" s="237"/>
      <c r="H30" s="142"/>
      <c r="I30" s="25" t="s">
        <v>45</v>
      </c>
      <c r="J30" s="96" t="s">
        <v>133</v>
      </c>
      <c r="K30" s="29"/>
      <c r="L30" s="27">
        <f>+K30*3</f>
        <v>0</v>
      </c>
      <c r="M30" s="164"/>
      <c r="N30" s="163">
        <f>+M30*3</f>
        <v>0</v>
      </c>
      <c r="O30" s="28"/>
      <c r="P30" s="11">
        <f t="shared" si="0"/>
        <v>0</v>
      </c>
      <c r="Q30" s="218"/>
      <c r="R30" s="240">
        <f t="shared" si="1"/>
        <v>0</v>
      </c>
      <c r="S30" s="241"/>
      <c r="T30" s="5"/>
      <c r="U30" s="184"/>
      <c r="V30" s="171">
        <v>18</v>
      </c>
      <c r="W30" s="185" t="s">
        <v>149</v>
      </c>
      <c r="X30" s="61"/>
    </row>
    <row r="31" spans="1:29" ht="16.5">
      <c r="A31" s="215"/>
      <c r="H31" s="142"/>
      <c r="I31" s="25" t="s">
        <v>13</v>
      </c>
      <c r="J31" s="81" t="s">
        <v>121</v>
      </c>
      <c r="K31" s="228"/>
      <c r="L31" s="227">
        <f>3*K31</f>
        <v>0</v>
      </c>
      <c r="M31" s="164"/>
      <c r="N31" s="163">
        <v>0</v>
      </c>
      <c r="O31" s="28"/>
      <c r="P31" s="75">
        <f t="shared" si="0"/>
        <v>0</v>
      </c>
      <c r="Q31" s="218"/>
      <c r="R31" s="57">
        <f t="shared" si="1"/>
        <v>0</v>
      </c>
      <c r="S31" s="107"/>
      <c r="T31" s="5"/>
      <c r="U31" s="186" t="s">
        <v>160</v>
      </c>
      <c r="V31" s="172">
        <f>+V30/V29</f>
        <v>4</v>
      </c>
      <c r="W31" s="173" t="s">
        <v>150</v>
      </c>
      <c r="X31" s="61"/>
    </row>
    <row r="32" spans="1:29">
      <c r="A32" s="215"/>
      <c r="H32" s="187" t="s">
        <v>232</v>
      </c>
      <c r="I32" s="188" t="s">
        <v>31</v>
      </c>
      <c r="J32" s="242" t="s">
        <v>127</v>
      </c>
      <c r="K32" s="192"/>
      <c r="L32" s="193">
        <v>0</v>
      </c>
      <c r="M32" s="192"/>
      <c r="N32" s="193">
        <v>0</v>
      </c>
      <c r="O32" s="192"/>
      <c r="P32" s="193">
        <f t="shared" si="0"/>
        <v>0</v>
      </c>
      <c r="Q32" s="221"/>
      <c r="R32" s="193">
        <f t="shared" si="1"/>
        <v>0</v>
      </c>
      <c r="S32" s="197"/>
      <c r="T32" s="5"/>
      <c r="U32" s="58"/>
      <c r="V32" s="59"/>
      <c r="W32" s="60"/>
      <c r="X32" s="65"/>
      <c r="AC32">
        <v>4</v>
      </c>
    </row>
    <row r="33" spans="1:29">
      <c r="A33" s="215"/>
      <c r="H33" s="187" t="s">
        <v>232</v>
      </c>
      <c r="I33" s="188" t="s">
        <v>30</v>
      </c>
      <c r="J33" s="242" t="s">
        <v>126</v>
      </c>
      <c r="K33" s="192"/>
      <c r="L33" s="193">
        <f>+K33*3</f>
        <v>0</v>
      </c>
      <c r="M33" s="192"/>
      <c r="N33" s="193">
        <f>+M33*3</f>
        <v>0</v>
      </c>
      <c r="O33" s="192"/>
      <c r="P33" s="193">
        <f t="shared" si="0"/>
        <v>0</v>
      </c>
      <c r="Q33" s="221"/>
      <c r="R33" s="193">
        <f t="shared" si="1"/>
        <v>0</v>
      </c>
      <c r="S33" s="197"/>
      <c r="T33" s="5"/>
      <c r="U33" s="58"/>
      <c r="V33" s="66"/>
      <c r="W33" s="67"/>
      <c r="X33" s="66"/>
      <c r="Z33">
        <v>186.44069999999999</v>
      </c>
      <c r="AA33">
        <f>+Z33*0.18</f>
        <v>33.559325999999999</v>
      </c>
      <c r="AB33">
        <f>+Z33+AA33</f>
        <v>220.00002599999999</v>
      </c>
      <c r="AC33">
        <f>+AB33*AC32</f>
        <v>880.00010399999996</v>
      </c>
    </row>
    <row r="34" spans="1:29" s="4" customFormat="1">
      <c r="A34" s="215"/>
      <c r="B34"/>
      <c r="C34"/>
      <c r="D34" s="1"/>
      <c r="E34"/>
      <c r="F34" s="2"/>
      <c r="G34"/>
      <c r="H34" s="83"/>
      <c r="I34" s="269" t="s">
        <v>186</v>
      </c>
      <c r="J34" s="270" t="s">
        <v>187</v>
      </c>
      <c r="K34" s="271"/>
      <c r="L34" s="272">
        <v>0</v>
      </c>
      <c r="M34" s="271"/>
      <c r="N34" s="272">
        <v>0</v>
      </c>
      <c r="O34" s="271"/>
      <c r="P34" s="272">
        <f t="shared" si="0"/>
        <v>0</v>
      </c>
      <c r="Q34" s="273"/>
      <c r="R34" s="272">
        <f t="shared" si="1"/>
        <v>0</v>
      </c>
      <c r="S34" s="274"/>
      <c r="T34" s="5"/>
      <c r="U34" s="64"/>
      <c r="V34" s="59"/>
      <c r="W34" s="60"/>
      <c r="X34" s="68"/>
      <c r="Z34" s="4">
        <v>206.44069999999999</v>
      </c>
      <c r="AA34">
        <f>+Z34*0.18</f>
        <v>37.159326</v>
      </c>
      <c r="AB34">
        <f>+Z34+AA34</f>
        <v>243.60002599999999</v>
      </c>
      <c r="AC34" s="4">
        <f>+AB34*AC32</f>
        <v>974.40010399999994</v>
      </c>
    </row>
    <row r="35" spans="1:29">
      <c r="A35" s="215"/>
      <c r="H35" s="83"/>
      <c r="I35" s="25" t="s">
        <v>17</v>
      </c>
      <c r="J35" s="81" t="s">
        <v>123</v>
      </c>
      <c r="K35" s="228"/>
      <c r="L35" s="227">
        <f>+K35*3</f>
        <v>0</v>
      </c>
      <c r="M35" s="164"/>
      <c r="N35" s="163">
        <v>0</v>
      </c>
      <c r="O35" s="74"/>
      <c r="P35" s="75">
        <f t="shared" si="0"/>
        <v>0</v>
      </c>
      <c r="Q35" s="218"/>
      <c r="R35" s="11">
        <f t="shared" si="1"/>
        <v>0</v>
      </c>
      <c r="S35" s="107"/>
      <c r="T35" s="5"/>
      <c r="U35" s="58"/>
      <c r="V35" s="59"/>
      <c r="W35" s="60"/>
      <c r="X35" s="69"/>
      <c r="Z35">
        <f>+Z34-Z33</f>
        <v>20</v>
      </c>
      <c r="AA35">
        <f>+AA34-AA33</f>
        <v>3.6000000000000014</v>
      </c>
      <c r="AB35">
        <f>+AB34-AB33</f>
        <v>23.599999999999994</v>
      </c>
      <c r="AC35">
        <f>+AB35*AC32</f>
        <v>94.399999999999977</v>
      </c>
    </row>
    <row r="36" spans="1:29">
      <c r="A36" s="215"/>
      <c r="H36" s="83"/>
      <c r="I36" s="25" t="s">
        <v>60</v>
      </c>
      <c r="J36" s="81" t="s">
        <v>132</v>
      </c>
      <c r="K36" s="228"/>
      <c r="L36" s="227">
        <v>0</v>
      </c>
      <c r="M36" s="164"/>
      <c r="N36" s="163">
        <v>0</v>
      </c>
      <c r="O36" s="74"/>
      <c r="P36" s="75">
        <f>IF(O36&gt;25,150,(O36)*6)</f>
        <v>0</v>
      </c>
      <c r="Q36" s="218"/>
      <c r="R36" s="11">
        <f>+L36+N36+P36+Q36</f>
        <v>0</v>
      </c>
      <c r="S36" s="107"/>
      <c r="T36" s="5"/>
      <c r="U36" s="58"/>
      <c r="V36" s="59"/>
      <c r="W36" s="60"/>
      <c r="X36" s="65"/>
    </row>
    <row r="37" spans="1:29">
      <c r="H37" s="142"/>
      <c r="I37" s="25" t="s">
        <v>233</v>
      </c>
      <c r="J37" s="81" t="s">
        <v>234</v>
      </c>
      <c r="K37" s="228"/>
      <c r="L37" s="227">
        <v>0</v>
      </c>
      <c r="M37" s="164"/>
      <c r="N37" s="163">
        <v>0</v>
      </c>
      <c r="O37" s="28"/>
      <c r="P37" s="75">
        <f t="shared" si="0"/>
        <v>0</v>
      </c>
      <c r="Q37" s="218"/>
      <c r="R37" s="57">
        <f t="shared" si="1"/>
        <v>0</v>
      </c>
      <c r="S37" s="107"/>
      <c r="T37" s="5"/>
      <c r="U37" s="58"/>
      <c r="V37" s="59"/>
      <c r="W37" s="60"/>
    </row>
    <row r="38" spans="1:29">
      <c r="A38" s="215"/>
      <c r="H38" s="142"/>
      <c r="I38" s="25" t="s">
        <v>8</v>
      </c>
      <c r="J38" s="81" t="s">
        <v>120</v>
      </c>
      <c r="K38" s="228"/>
      <c r="L38" s="227">
        <v>0</v>
      </c>
      <c r="M38" s="164"/>
      <c r="N38" s="163">
        <v>0</v>
      </c>
      <c r="O38" s="28"/>
      <c r="P38" s="75">
        <f t="shared" si="0"/>
        <v>0</v>
      </c>
      <c r="Q38" s="218"/>
      <c r="R38" s="57">
        <f t="shared" si="1"/>
        <v>0</v>
      </c>
      <c r="S38" s="107"/>
      <c r="T38" s="5"/>
      <c r="U38" s="58"/>
      <c r="V38" s="59"/>
      <c r="W38" s="60"/>
      <c r="X38" s="61"/>
    </row>
    <row r="39" spans="1:29">
      <c r="A39" s="215"/>
      <c r="H39" s="83"/>
      <c r="I39" s="25" t="s">
        <v>11</v>
      </c>
      <c r="J39" s="96" t="s">
        <v>130</v>
      </c>
      <c r="K39" s="228"/>
      <c r="L39" s="227">
        <f>+K39*3</f>
        <v>0</v>
      </c>
      <c r="M39" s="164"/>
      <c r="N39" s="163">
        <f>+M39*3</f>
        <v>0</v>
      </c>
      <c r="O39" s="74"/>
      <c r="P39" s="75">
        <f t="shared" si="0"/>
        <v>0</v>
      </c>
      <c r="Q39" s="220"/>
      <c r="R39" s="11">
        <f t="shared" si="1"/>
        <v>0</v>
      </c>
      <c r="S39" s="107"/>
      <c r="T39" s="5"/>
      <c r="U39" s="58"/>
      <c r="V39" s="59"/>
      <c r="W39" s="62"/>
      <c r="X39" s="63"/>
    </row>
    <row r="40" spans="1:29">
      <c r="H40" s="83"/>
      <c r="I40" s="25" t="s">
        <v>44</v>
      </c>
      <c r="J40" s="96" t="s">
        <v>124</v>
      </c>
      <c r="K40" s="228"/>
      <c r="L40" s="227">
        <f>+K40*3</f>
        <v>0</v>
      </c>
      <c r="M40" s="164"/>
      <c r="N40" s="163">
        <f>+M40*3</f>
        <v>0</v>
      </c>
      <c r="O40" s="113"/>
      <c r="P40" s="75">
        <f t="shared" si="0"/>
        <v>0</v>
      </c>
      <c r="Q40" s="218"/>
      <c r="R40" s="11">
        <f t="shared" si="1"/>
        <v>0</v>
      </c>
      <c r="S40" s="107"/>
      <c r="T40" s="5"/>
      <c r="U40" s="58"/>
      <c r="V40" s="59"/>
      <c r="W40" s="67"/>
      <c r="X40" s="66"/>
    </row>
    <row r="41" spans="1:29">
      <c r="H41" s="83"/>
      <c r="I41" s="25" t="s">
        <v>6</v>
      </c>
      <c r="J41" s="96" t="s">
        <v>116</v>
      </c>
      <c r="K41" s="228"/>
      <c r="L41" s="227">
        <f>+K41*3</f>
        <v>0</v>
      </c>
      <c r="M41" s="164"/>
      <c r="N41" s="163">
        <f>+M41*3</f>
        <v>0</v>
      </c>
      <c r="O41" s="74"/>
      <c r="P41" s="75">
        <f t="shared" si="0"/>
        <v>0</v>
      </c>
      <c r="Q41" s="220"/>
      <c r="R41" s="11">
        <f t="shared" si="1"/>
        <v>0</v>
      </c>
      <c r="S41" s="107"/>
      <c r="T41" s="5"/>
      <c r="U41" s="58"/>
      <c r="V41" s="59"/>
      <c r="W41" s="60"/>
      <c r="X41" s="65"/>
    </row>
    <row r="42" spans="1:29">
      <c r="H42" s="95"/>
      <c r="I42" s="25" t="s">
        <v>53</v>
      </c>
      <c r="J42" s="81" t="s">
        <v>135</v>
      </c>
      <c r="K42" s="228"/>
      <c r="L42" s="227">
        <v>0</v>
      </c>
      <c r="M42" s="164"/>
      <c r="N42" s="163">
        <v>0</v>
      </c>
      <c r="O42" s="28"/>
      <c r="P42" s="75">
        <f t="shared" si="0"/>
        <v>0</v>
      </c>
      <c r="Q42" s="218"/>
      <c r="R42" s="11">
        <f t="shared" si="1"/>
        <v>0</v>
      </c>
      <c r="S42" s="107"/>
      <c r="T42" s="5"/>
      <c r="U42" s="58"/>
      <c r="V42" s="59"/>
      <c r="W42" s="60"/>
      <c r="X42" s="65"/>
    </row>
    <row r="43" spans="1:29">
      <c r="H43" s="81"/>
      <c r="I43" s="120" t="s">
        <v>12</v>
      </c>
      <c r="J43" s="150" t="s">
        <v>114</v>
      </c>
      <c r="K43" s="232"/>
      <c r="L43" s="233">
        <v>0</v>
      </c>
      <c r="M43" s="165"/>
      <c r="N43" s="166">
        <f>2.85*M43</f>
        <v>0</v>
      </c>
      <c r="O43" s="122"/>
      <c r="P43" s="147">
        <f t="shared" si="0"/>
        <v>0</v>
      </c>
      <c r="Q43" s="222"/>
      <c r="R43" s="124">
        <f t="shared" si="1"/>
        <v>0</v>
      </c>
      <c r="S43" s="148"/>
      <c r="T43" s="5"/>
      <c r="U43" s="58"/>
      <c r="V43" s="59"/>
      <c r="W43" s="60"/>
      <c r="X43" s="61"/>
    </row>
    <row r="44" spans="1:29">
      <c r="I44" s="13"/>
      <c r="J44" s="14"/>
      <c r="K44" s="234">
        <f t="shared" ref="K44:S44" si="2">SUM(K5:K43)</f>
        <v>0</v>
      </c>
      <c r="L44" s="235">
        <f t="shared" si="2"/>
        <v>0</v>
      </c>
      <c r="M44" s="167">
        <f t="shared" si="2"/>
        <v>0</v>
      </c>
      <c r="N44" s="168">
        <f t="shared" si="2"/>
        <v>0</v>
      </c>
      <c r="O44" s="77">
        <f t="shared" si="2"/>
        <v>0</v>
      </c>
      <c r="P44" s="78">
        <f t="shared" si="2"/>
        <v>0</v>
      </c>
      <c r="Q44" s="223">
        <f t="shared" si="2"/>
        <v>0</v>
      </c>
      <c r="R44" s="78">
        <f t="shared" si="2"/>
        <v>0</v>
      </c>
      <c r="S44" s="102">
        <f t="shared" si="2"/>
        <v>0</v>
      </c>
      <c r="T44" s="5"/>
      <c r="U44" s="58"/>
      <c r="V44" s="59"/>
      <c r="W44" s="60"/>
      <c r="X44" s="61"/>
    </row>
    <row r="45" spans="1:29">
      <c r="J45" s="200">
        <f ca="1">TODAY()</f>
        <v>43825</v>
      </c>
      <c r="K45" s="41"/>
      <c r="M45" s="42"/>
      <c r="N45" s="41"/>
      <c r="O45" s="45" t="s">
        <v>81</v>
      </c>
      <c r="Q45" s="42"/>
      <c r="R45" s="45">
        <f>+R15+R16+R21+R24+R32+R33</f>
        <v>0</v>
      </c>
      <c r="T45" s="5"/>
      <c r="U45" s="58"/>
      <c r="V45" s="59"/>
      <c r="W45" s="60"/>
      <c r="X45" s="65"/>
    </row>
    <row r="46" spans="1:29">
      <c r="L46" s="43"/>
      <c r="M46" s="44"/>
      <c r="N46" s="125"/>
      <c r="O46" s="43" t="s">
        <v>91</v>
      </c>
      <c r="P46" s="114"/>
      <c r="Q46" s="110" t="s">
        <v>58</v>
      </c>
      <c r="R46" s="111">
        <f>+R44-R45</f>
        <v>0</v>
      </c>
      <c r="S46" s="109"/>
      <c r="T46" s="5"/>
      <c r="U46" s="58"/>
      <c r="V46" s="59"/>
      <c r="W46" s="62"/>
      <c r="X46" s="60"/>
    </row>
    <row r="47" spans="1:29" ht="3.95" customHeight="1">
      <c r="P47" s="19"/>
      <c r="U47" s="58"/>
      <c r="V47" s="59"/>
      <c r="W47" s="62"/>
      <c r="X47" s="60"/>
    </row>
    <row r="48" spans="1:29">
      <c r="I48" s="254" t="s">
        <v>259</v>
      </c>
      <c r="P48" s="19"/>
      <c r="U48" s="64"/>
      <c r="V48" s="59"/>
      <c r="W48" s="60"/>
      <c r="X48" s="68"/>
    </row>
    <row r="49" spans="9:24">
      <c r="I49" s="255" t="s">
        <v>260</v>
      </c>
      <c r="P49" s="19"/>
      <c r="U49" s="58"/>
      <c r="V49" s="66"/>
      <c r="W49" s="67"/>
      <c r="X49" s="69"/>
    </row>
    <row r="50" spans="9:24">
      <c r="I50" s="254" t="s">
        <v>261</v>
      </c>
      <c r="P50" s="19"/>
      <c r="U50" s="60"/>
      <c r="V50" s="59"/>
      <c r="W50" s="60"/>
      <c r="X50" s="60"/>
    </row>
    <row r="51" spans="9:24">
      <c r="I51" s="254" t="s">
        <v>262</v>
      </c>
      <c r="P51" s="19"/>
      <c r="U51" s="60"/>
      <c r="V51" s="59"/>
      <c r="W51" s="60"/>
      <c r="X51" s="60"/>
    </row>
    <row r="52" spans="9:24">
      <c r="I52" s="254" t="s">
        <v>263</v>
      </c>
      <c r="P52" s="19"/>
      <c r="U52" s="60"/>
      <c r="V52" s="59"/>
      <c r="W52" s="60"/>
      <c r="X52" s="60"/>
    </row>
    <row r="53" spans="9:24">
      <c r="I53" s="254" t="s">
        <v>264</v>
      </c>
      <c r="U53" s="60"/>
      <c r="V53" s="59"/>
      <c r="W53" s="60"/>
      <c r="X53" s="60"/>
    </row>
    <row r="54" spans="9:24" ht="3.95" customHeight="1">
      <c r="I54" s="254" t="s">
        <v>265</v>
      </c>
      <c r="P54" s="19"/>
      <c r="U54" s="60"/>
      <c r="V54" s="59"/>
      <c r="W54" s="60"/>
      <c r="X54" s="60"/>
    </row>
    <row r="55" spans="9:24">
      <c r="U55" s="60"/>
      <c r="V55" s="59"/>
      <c r="W55" s="60"/>
      <c r="X55" s="60"/>
    </row>
  </sheetData>
  <mergeCells count="4">
    <mergeCell ref="I2:R2"/>
    <mergeCell ref="K3:N3"/>
    <mergeCell ref="O3:P3"/>
    <mergeCell ref="T3:V3"/>
  </mergeCells>
  <conditionalFormatting sqref="R5">
    <cfRule type="cellIs" dxfId="54" priority="2" operator="lessThanOrEqual">
      <formula>0</formula>
    </cfRule>
  </conditionalFormatting>
  <conditionalFormatting sqref="R5:R43">
    <cfRule type="cellIs" dxfId="53" priority="1" operator="greaterThan">
      <formula>0</formula>
    </cfRule>
  </conditionalFormatting>
  <printOptions horizontalCentered="1"/>
  <pageMargins left="0" right="0" top="0.51181102362204722" bottom="0" header="0" footer="0"/>
  <pageSetup paperSize="9" scale="99" orientation="portrait" r:id="rId1"/>
  <ignoredErrors>
    <ignoredError sqref="L15:N26" 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55"/>
  <sheetViews>
    <sheetView zoomScale="85" zoomScaleNormal="85" workbookViewId="0">
      <pane xSplit="10" ySplit="4" topLeftCell="K11" activePane="bottomRight" state="frozen"/>
      <selection pane="topRight" activeCell="K1" sqref="K1"/>
      <selection pane="bottomLeft" activeCell="A5" sqref="A5"/>
      <selection pane="bottomRight" activeCell="J14" sqref="J14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5.140625" customWidth="1"/>
    <col min="9" max="9" width="7.140625" customWidth="1"/>
    <col min="10" max="10" width="29.28515625" customWidth="1"/>
    <col min="11" max="11" width="1.7109375" customWidth="1"/>
    <col min="12" max="12" width="1.5703125" customWidth="1"/>
    <col min="13" max="13" width="5.7109375" customWidth="1"/>
    <col min="14" max="14" width="11.28515625" customWidth="1"/>
    <col min="15" max="15" width="6.140625" customWidth="1"/>
    <col min="16" max="16" width="11.42578125" customWidth="1"/>
    <col min="17" max="17" width="6.42578125" customWidth="1"/>
    <col min="18" max="18" width="13.85546875" customWidth="1"/>
    <col min="19" max="19" width="2.14062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7" ht="5.0999999999999996" customHeight="1"/>
    <row r="2" spans="8:27">
      <c r="H2" s="83"/>
      <c r="I2" s="439" t="s">
        <v>266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7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7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198" t="s">
        <v>269</v>
      </c>
      <c r="O4" s="87" t="s">
        <v>15</v>
      </c>
      <c r="P4" s="87" t="s">
        <v>268</v>
      </c>
      <c r="Q4" s="99" t="s">
        <v>267</v>
      </c>
      <c r="R4" s="88" t="s">
        <v>103</v>
      </c>
      <c r="S4" s="139" t="s">
        <v>104</v>
      </c>
      <c r="T4" s="89"/>
      <c r="U4" s="83"/>
      <c r="V4" s="83"/>
    </row>
    <row r="5" spans="8:27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f>+M5*3</f>
        <v>0</v>
      </c>
      <c r="O5" s="76"/>
      <c r="P5" s="75">
        <f t="shared" ref="P5:P43" si="0">IF(O5&gt;25,150,(O5)*6)</f>
        <v>0</v>
      </c>
      <c r="Q5" s="217"/>
      <c r="R5" s="11">
        <f t="shared" ref="R5:R43" si="1">+L5+N5+P5+Q5</f>
        <v>0</v>
      </c>
      <c r="S5" s="106"/>
      <c r="T5" s="5"/>
      <c r="U5" s="258">
        <v>798.8</v>
      </c>
      <c r="V5" s="259">
        <v>103.44</v>
      </c>
      <c r="W5" s="260">
        <v>695.36</v>
      </c>
      <c r="X5" s="265" t="s">
        <v>110</v>
      </c>
      <c r="Y5" s="266"/>
    </row>
    <row r="6" spans="8:27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261">
        <v>720</v>
      </c>
      <c r="V6" s="256">
        <f>+V5*U6/U5</f>
        <v>93.235853780671022</v>
      </c>
      <c r="W6" s="257">
        <f>+U6-V6</f>
        <v>626.76414621932895</v>
      </c>
      <c r="X6" s="36"/>
    </row>
    <row r="7" spans="8:27">
      <c r="H7" s="83"/>
      <c r="I7" s="126" t="s">
        <v>64</v>
      </c>
      <c r="J7" s="80" t="s">
        <v>138</v>
      </c>
      <c r="K7" s="226"/>
      <c r="L7" s="227">
        <f>+K7*3</f>
        <v>0</v>
      </c>
      <c r="M7" s="162"/>
      <c r="N7" s="163">
        <v>0</v>
      </c>
      <c r="O7" s="76">
        <v>24</v>
      </c>
      <c r="P7" s="75">
        <f t="shared" si="0"/>
        <v>144</v>
      </c>
      <c r="Q7" s="217">
        <v>10</v>
      </c>
      <c r="R7" s="11">
        <f t="shared" si="1"/>
        <v>154</v>
      </c>
      <c r="S7" s="106"/>
      <c r="T7" s="5"/>
      <c r="U7" s="32">
        <f>+U5-U6</f>
        <v>78.799999999999955</v>
      </c>
      <c r="V7" s="47"/>
      <c r="W7" s="33"/>
      <c r="X7" s="262" t="s">
        <v>59</v>
      </c>
      <c r="AA7">
        <v>220</v>
      </c>
    </row>
    <row r="8" spans="8:27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/>
      <c r="P8" s="75">
        <f t="shared" si="0"/>
        <v>0</v>
      </c>
      <c r="Q8" s="217"/>
      <c r="R8" s="11">
        <f t="shared" si="1"/>
        <v>0</v>
      </c>
      <c r="S8" s="138"/>
      <c r="T8" s="5"/>
      <c r="U8" s="34">
        <v>150</v>
      </c>
      <c r="V8" s="38">
        <f>+U8-U7</f>
        <v>71.200000000000045</v>
      </c>
      <c r="W8" s="39" t="s">
        <v>63</v>
      </c>
      <c r="X8" s="263">
        <f>150-V8</f>
        <v>78.799999999999955</v>
      </c>
      <c r="AA8">
        <v>220</v>
      </c>
    </row>
    <row r="9" spans="8:27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>
        <v>28</v>
      </c>
      <c r="P9" s="75">
        <f t="shared" si="0"/>
        <v>150</v>
      </c>
      <c r="Q9" s="218"/>
      <c r="R9" s="11">
        <f t="shared" si="1"/>
        <v>150</v>
      </c>
      <c r="S9" s="107"/>
      <c r="T9" s="5"/>
      <c r="U9" s="10"/>
      <c r="X9" s="37"/>
      <c r="AA9">
        <v>140</v>
      </c>
    </row>
    <row r="10" spans="8:27" ht="15" customHeight="1">
      <c r="H10" s="95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28"/>
      <c r="P10" s="75">
        <f t="shared" si="0"/>
        <v>0</v>
      </c>
      <c r="Q10" s="218"/>
      <c r="R10" s="11">
        <f t="shared" si="1"/>
        <v>0</v>
      </c>
      <c r="S10" s="197"/>
      <c r="T10" s="5"/>
      <c r="U10" s="258">
        <v>728.8</v>
      </c>
      <c r="V10" s="259">
        <v>103.44</v>
      </c>
      <c r="W10" s="260">
        <v>695.36</v>
      </c>
      <c r="X10" s="264" t="s">
        <v>35</v>
      </c>
      <c r="Y10" s="266"/>
      <c r="AA10">
        <v>40</v>
      </c>
    </row>
    <row r="11" spans="8:27">
      <c r="H11" s="141"/>
      <c r="I11" s="126" t="s">
        <v>56</v>
      </c>
      <c r="J11" s="80" t="s">
        <v>136</v>
      </c>
      <c r="K11" s="226"/>
      <c r="L11" s="227">
        <v>0</v>
      </c>
      <c r="M11" s="162"/>
      <c r="N11" s="163">
        <f>2.7*M11</f>
        <v>0</v>
      </c>
      <c r="O11" s="74">
        <v>22</v>
      </c>
      <c r="P11" s="75">
        <f t="shared" si="0"/>
        <v>132</v>
      </c>
      <c r="Q11" s="217"/>
      <c r="R11" s="9">
        <f t="shared" si="1"/>
        <v>132</v>
      </c>
      <c r="S11" s="107"/>
      <c r="T11" s="5"/>
      <c r="U11" s="261">
        <v>720</v>
      </c>
      <c r="V11" s="256">
        <f>+V10*U11/U10</f>
        <v>102.19099890230517</v>
      </c>
      <c r="W11" s="257">
        <f>+U11-V11</f>
        <v>617.80900109769482</v>
      </c>
      <c r="X11" s="37"/>
      <c r="AA11">
        <v>55</v>
      </c>
    </row>
    <row r="12" spans="8:27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/>
      <c r="P12" s="75">
        <f t="shared" si="0"/>
        <v>0</v>
      </c>
      <c r="Q12" s="218"/>
      <c r="R12" s="9">
        <f t="shared" si="1"/>
        <v>0</v>
      </c>
      <c r="S12" s="106"/>
      <c r="T12" s="5"/>
      <c r="U12" s="32">
        <f>+U10-U11</f>
        <v>8.7999999999999545</v>
      </c>
      <c r="V12" s="47"/>
      <c r="W12" s="33"/>
      <c r="X12" s="262" t="s">
        <v>59</v>
      </c>
      <c r="AA12">
        <v>80</v>
      </c>
    </row>
    <row r="13" spans="8:27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141.20000000000005</v>
      </c>
      <c r="W13" s="39" t="s">
        <v>63</v>
      </c>
      <c r="X13" s="263">
        <f>150-V13</f>
        <v>8.7999999999999545</v>
      </c>
      <c r="AA13">
        <v>70</v>
      </c>
    </row>
    <row r="14" spans="8:27">
      <c r="H14" s="95"/>
      <c r="I14" s="25" t="s">
        <v>20</v>
      </c>
      <c r="J14" s="81" t="s">
        <v>195</v>
      </c>
      <c r="K14" s="228"/>
      <c r="L14" s="227">
        <f>+K14*3</f>
        <v>0</v>
      </c>
      <c r="M14" s="164"/>
      <c r="N14" s="163">
        <f>+M14*3</f>
        <v>0</v>
      </c>
      <c r="O14" s="28">
        <v>29</v>
      </c>
      <c r="P14" s="75">
        <f t="shared" si="0"/>
        <v>150</v>
      </c>
      <c r="Q14" s="218"/>
      <c r="R14" s="9">
        <f t="shared" si="1"/>
        <v>150</v>
      </c>
      <c r="S14" s="107"/>
      <c r="T14" s="5"/>
      <c r="U14" s="10"/>
      <c r="X14" s="37"/>
      <c r="AA14">
        <f>SUM(AA7:AA13)</f>
        <v>825</v>
      </c>
    </row>
    <row r="15" spans="8:27">
      <c r="H15" s="251" t="s">
        <v>50</v>
      </c>
      <c r="I15" s="275" t="s">
        <v>272</v>
      </c>
      <c r="J15" s="276" t="s">
        <v>271</v>
      </c>
      <c r="K15" s="277"/>
      <c r="L15" s="278">
        <v>0</v>
      </c>
      <c r="M15" s="277"/>
      <c r="N15" s="278">
        <f>3*M15</f>
        <v>0</v>
      </c>
      <c r="O15" s="277"/>
      <c r="P15" s="278">
        <f>IF(O15&gt;25,150,(O15)*6)</f>
        <v>0</v>
      </c>
      <c r="Q15" s="279"/>
      <c r="R15" s="278">
        <f>+L15+N15+P15+Q15</f>
        <v>0</v>
      </c>
      <c r="S15" s="280"/>
      <c r="T15" s="5"/>
      <c r="U15" s="258">
        <v>744</v>
      </c>
      <c r="V15" s="259">
        <v>96.72</v>
      </c>
      <c r="W15" s="260">
        <v>647.28</v>
      </c>
      <c r="X15" s="100"/>
      <c r="Y15" s="266"/>
    </row>
    <row r="16" spans="8:27">
      <c r="H16" s="187" t="s">
        <v>227</v>
      </c>
      <c r="I16" s="188" t="s">
        <v>25</v>
      </c>
      <c r="J16" s="242" t="s">
        <v>118</v>
      </c>
      <c r="K16" s="192"/>
      <c r="L16" s="193">
        <f>+K16*3</f>
        <v>0</v>
      </c>
      <c r="M16" s="192"/>
      <c r="N16" s="193">
        <f>+M16*3</f>
        <v>0</v>
      </c>
      <c r="O16" s="192">
        <v>22</v>
      </c>
      <c r="P16" s="193">
        <f t="shared" si="0"/>
        <v>132</v>
      </c>
      <c r="Q16" s="221"/>
      <c r="R16" s="193">
        <f t="shared" si="1"/>
        <v>132</v>
      </c>
      <c r="S16" s="197"/>
      <c r="T16" s="5"/>
      <c r="U16" s="261">
        <v>720</v>
      </c>
      <c r="V16" s="256">
        <f>+V15*U16/U15</f>
        <v>93.6</v>
      </c>
      <c r="W16" s="257">
        <f>+U16-V16</f>
        <v>626.4</v>
      </c>
      <c r="X16" s="37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164"/>
      <c r="N17" s="163">
        <f>+M17*3</f>
        <v>0</v>
      </c>
      <c r="O17" s="28">
        <v>25</v>
      </c>
      <c r="P17" s="75">
        <f t="shared" si="0"/>
        <v>150</v>
      </c>
      <c r="Q17" s="218"/>
      <c r="R17" s="11">
        <f t="shared" si="1"/>
        <v>150</v>
      </c>
      <c r="S17" s="107"/>
      <c r="T17" s="5"/>
      <c r="U17" s="32">
        <f>+U15-U16</f>
        <v>24</v>
      </c>
      <c r="V17" s="47"/>
      <c r="W17" s="33"/>
      <c r="X17" s="262" t="s">
        <v>59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162"/>
      <c r="N18" s="163">
        <f>5*M18</f>
        <v>0</v>
      </c>
      <c r="O18" s="76"/>
      <c r="P18" s="75">
        <f t="shared" si="0"/>
        <v>0</v>
      </c>
      <c r="Q18" s="217"/>
      <c r="R18" s="11">
        <f t="shared" si="1"/>
        <v>0</v>
      </c>
      <c r="S18" s="106"/>
      <c r="T18" s="5"/>
      <c r="U18" s="34">
        <v>150</v>
      </c>
      <c r="V18" s="38">
        <f>+U18-U17</f>
        <v>126</v>
      </c>
      <c r="W18" s="39" t="s">
        <v>63</v>
      </c>
      <c r="X18" s="263">
        <f>150-V18</f>
        <v>24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164"/>
      <c r="N19" s="163">
        <f>+M19*3</f>
        <v>0</v>
      </c>
      <c r="O19" s="74">
        <v>35</v>
      </c>
      <c r="P19" s="75">
        <f t="shared" si="0"/>
        <v>150</v>
      </c>
      <c r="Q19" s="217"/>
      <c r="R19" s="9">
        <f t="shared" si="1"/>
        <v>150</v>
      </c>
      <c r="S19" s="107"/>
      <c r="T19" s="5"/>
      <c r="U19" s="10"/>
      <c r="X19" s="37"/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164"/>
      <c r="N20" s="163">
        <v>0</v>
      </c>
      <c r="O20" s="74"/>
      <c r="P20" s="75">
        <f t="shared" si="0"/>
        <v>0</v>
      </c>
      <c r="Q20" s="217"/>
      <c r="R20" s="9">
        <f t="shared" si="1"/>
        <v>0</v>
      </c>
      <c r="S20" s="107"/>
      <c r="T20" s="5"/>
      <c r="U20" s="58"/>
      <c r="V20" s="59"/>
      <c r="W20" s="60"/>
      <c r="X20" s="61"/>
    </row>
    <row r="21" spans="1:29">
      <c r="H21" s="251" t="s">
        <v>50</v>
      </c>
      <c r="I21" s="275" t="s">
        <v>270</v>
      </c>
      <c r="J21" s="276" t="s">
        <v>273</v>
      </c>
      <c r="K21" s="277"/>
      <c r="L21" s="278">
        <v>0</v>
      </c>
      <c r="M21" s="277"/>
      <c r="N21" s="278">
        <f>3*M21</f>
        <v>0</v>
      </c>
      <c r="O21" s="277"/>
      <c r="P21" s="278">
        <f>IF(O21&gt;25,150,(O21)*6)</f>
        <v>0</v>
      </c>
      <c r="Q21" s="279"/>
      <c r="R21" s="278">
        <f>+L21+N21+P21+Q21</f>
        <v>0</v>
      </c>
      <c r="S21" s="280"/>
      <c r="T21" s="5"/>
      <c r="U21" s="103" t="s">
        <v>161</v>
      </c>
    </row>
    <row r="22" spans="1:29">
      <c r="A22" s="215"/>
      <c r="H22" s="142"/>
      <c r="I22" s="25" t="s">
        <v>4</v>
      </c>
      <c r="J22" s="81" t="s">
        <v>111</v>
      </c>
      <c r="K22" s="228"/>
      <c r="L22" s="227">
        <v>0</v>
      </c>
      <c r="M22" s="164"/>
      <c r="N22" s="163">
        <v>0</v>
      </c>
      <c r="O22" s="28">
        <v>26</v>
      </c>
      <c r="P22" s="75">
        <f t="shared" si="0"/>
        <v>150</v>
      </c>
      <c r="Q22" s="218"/>
      <c r="R22" s="11">
        <f t="shared" si="1"/>
        <v>150</v>
      </c>
      <c r="S22" s="107"/>
      <c r="T22" s="5"/>
      <c r="U22" s="176" t="s">
        <v>158</v>
      </c>
      <c r="V22" s="177" t="s">
        <v>159</v>
      </c>
      <c r="W22" s="178"/>
      <c r="X22" s="174" t="s">
        <v>157</v>
      </c>
    </row>
    <row r="23" spans="1:29">
      <c r="A23" s="215"/>
      <c r="H23" s="142"/>
      <c r="I23" s="25" t="s">
        <v>9</v>
      </c>
      <c r="J23" s="81" t="s">
        <v>128</v>
      </c>
      <c r="K23" s="228"/>
      <c r="L23" s="227">
        <v>0</v>
      </c>
      <c r="M23" s="164"/>
      <c r="N23" s="163">
        <v>0</v>
      </c>
      <c r="O23" s="28">
        <v>17</v>
      </c>
      <c r="P23" s="75">
        <f t="shared" si="0"/>
        <v>102</v>
      </c>
      <c r="Q23" s="218"/>
      <c r="R23" s="57">
        <f t="shared" si="1"/>
        <v>102</v>
      </c>
      <c r="S23" s="107"/>
      <c r="T23" s="5"/>
      <c r="U23" s="176" t="s">
        <v>158</v>
      </c>
      <c r="V23" s="177" t="s">
        <v>159</v>
      </c>
      <c r="W23" s="178"/>
      <c r="X23" s="174" t="s">
        <v>157</v>
      </c>
    </row>
    <row r="24" spans="1:29">
      <c r="A24" s="215"/>
      <c r="H24" s="251" t="s">
        <v>50</v>
      </c>
      <c r="I24" s="252" t="s">
        <v>236</v>
      </c>
      <c r="J24" s="250" t="s">
        <v>235</v>
      </c>
      <c r="K24" s="229"/>
      <c r="L24" s="230">
        <v>0</v>
      </c>
      <c r="M24" s="160"/>
      <c r="N24" s="161">
        <v>0</v>
      </c>
      <c r="O24" s="23">
        <v>20</v>
      </c>
      <c r="P24" s="24">
        <f t="shared" si="0"/>
        <v>120</v>
      </c>
      <c r="Q24" s="219"/>
      <c r="R24" s="24">
        <f t="shared" si="1"/>
        <v>120</v>
      </c>
      <c r="S24" s="108"/>
      <c r="T24" s="5"/>
      <c r="U24" s="179">
        <v>43480</v>
      </c>
      <c r="V24" s="170">
        <v>1</v>
      </c>
      <c r="W24" s="180"/>
      <c r="X24" s="33" t="s">
        <v>156</v>
      </c>
    </row>
    <row r="25" spans="1:29">
      <c r="A25" s="237"/>
      <c r="B25" s="237"/>
      <c r="C25" s="237"/>
      <c r="D25" s="238"/>
      <c r="E25" s="237"/>
      <c r="F25" s="239"/>
      <c r="G25" s="237"/>
      <c r="H25" s="142"/>
      <c r="I25" s="25" t="s">
        <v>51</v>
      </c>
      <c r="J25" s="96" t="s">
        <v>134</v>
      </c>
      <c r="K25" s="29"/>
      <c r="L25" s="27">
        <f>+K25*3</f>
        <v>0</v>
      </c>
      <c r="M25" s="164"/>
      <c r="N25" s="163">
        <f>+M25*3</f>
        <v>0</v>
      </c>
      <c r="O25" s="28">
        <v>13</v>
      </c>
      <c r="P25" s="11">
        <f t="shared" si="0"/>
        <v>78</v>
      </c>
      <c r="Q25" s="218"/>
      <c r="R25" s="240">
        <f t="shared" si="1"/>
        <v>78</v>
      </c>
      <c r="S25" s="241"/>
      <c r="T25" s="5"/>
      <c r="U25" s="179">
        <f>1+U24</f>
        <v>43481</v>
      </c>
      <c r="V25" s="170">
        <v>1</v>
      </c>
      <c r="W25" s="181"/>
      <c r="X25" s="33" t="s">
        <v>151</v>
      </c>
    </row>
    <row r="26" spans="1:29">
      <c r="A26" s="215"/>
      <c r="H26" s="83"/>
      <c r="I26" s="126" t="s">
        <v>61</v>
      </c>
      <c r="J26" s="80" t="s">
        <v>137</v>
      </c>
      <c r="K26" s="226"/>
      <c r="L26" s="227">
        <f>3*K26</f>
        <v>0</v>
      </c>
      <c r="M26" s="162"/>
      <c r="N26" s="163">
        <f>2.85*M26</f>
        <v>0</v>
      </c>
      <c r="O26" s="72"/>
      <c r="P26" s="75">
        <f t="shared" si="0"/>
        <v>0</v>
      </c>
      <c r="Q26" s="217">
        <v>10</v>
      </c>
      <c r="R26" s="11">
        <f t="shared" si="1"/>
        <v>10</v>
      </c>
      <c r="S26" s="106"/>
      <c r="T26" s="5"/>
      <c r="U26" s="179">
        <f>1+U25</f>
        <v>43482</v>
      </c>
      <c r="V26" s="170">
        <v>1</v>
      </c>
      <c r="W26" s="182"/>
      <c r="X26" s="33" t="s">
        <v>152</v>
      </c>
    </row>
    <row r="27" spans="1:29">
      <c r="A27" s="215"/>
      <c r="H27" s="83"/>
      <c r="I27" s="25" t="s">
        <v>14</v>
      </c>
      <c r="J27" s="96" t="s">
        <v>125</v>
      </c>
      <c r="K27" s="228"/>
      <c r="L27" s="227">
        <f>+K27*3</f>
        <v>0</v>
      </c>
      <c r="M27" s="164"/>
      <c r="N27" s="163">
        <v>0</v>
      </c>
      <c r="O27" s="74">
        <v>26</v>
      </c>
      <c r="P27" s="75">
        <f t="shared" si="0"/>
        <v>150</v>
      </c>
      <c r="Q27" s="218"/>
      <c r="R27" s="11">
        <f t="shared" si="1"/>
        <v>150</v>
      </c>
      <c r="S27" s="107"/>
      <c r="T27" s="5"/>
      <c r="U27" s="179">
        <f>1+U26</f>
        <v>43483</v>
      </c>
      <c r="V27" s="170">
        <v>1</v>
      </c>
      <c r="W27" s="181"/>
      <c r="X27" s="33" t="s">
        <v>153</v>
      </c>
    </row>
    <row r="28" spans="1:29">
      <c r="A28" s="215"/>
      <c r="H28" s="83"/>
      <c r="I28" s="126" t="s">
        <v>79</v>
      </c>
      <c r="J28" s="82" t="s">
        <v>110</v>
      </c>
      <c r="K28" s="228"/>
      <c r="L28" s="227">
        <v>0</v>
      </c>
      <c r="M28" s="164"/>
      <c r="N28" s="163">
        <f>3*M28</f>
        <v>0</v>
      </c>
      <c r="O28" s="76">
        <v>9</v>
      </c>
      <c r="P28" s="75">
        <f t="shared" si="0"/>
        <v>54</v>
      </c>
      <c r="Q28" s="217"/>
      <c r="R28" s="11">
        <f t="shared" si="1"/>
        <v>54</v>
      </c>
      <c r="S28" s="106"/>
      <c r="T28" s="5"/>
      <c r="U28" s="179">
        <f>1+U27</f>
        <v>43484</v>
      </c>
      <c r="V28" s="170">
        <v>0.5</v>
      </c>
      <c r="W28" s="183"/>
      <c r="X28" s="33" t="s">
        <v>154</v>
      </c>
    </row>
    <row r="29" spans="1:29">
      <c r="H29" s="83"/>
      <c r="I29" s="269" t="s">
        <v>214</v>
      </c>
      <c r="J29" s="270" t="s">
        <v>215</v>
      </c>
      <c r="K29" s="271"/>
      <c r="L29" s="272">
        <v>0</v>
      </c>
      <c r="M29" s="271"/>
      <c r="N29" s="272">
        <f>3*M29</f>
        <v>0</v>
      </c>
      <c r="O29" s="271">
        <v>24</v>
      </c>
      <c r="P29" s="272">
        <f t="shared" si="0"/>
        <v>144</v>
      </c>
      <c r="Q29" s="273">
        <v>10</v>
      </c>
      <c r="R29" s="272">
        <f t="shared" si="1"/>
        <v>154</v>
      </c>
      <c r="S29" s="274"/>
      <c r="T29" s="5"/>
      <c r="U29" s="184"/>
      <c r="V29" s="170">
        <f>SUM(V24:V28)</f>
        <v>4.5</v>
      </c>
      <c r="W29" s="183" t="s">
        <v>148</v>
      </c>
      <c r="X29" s="175" t="s">
        <v>155</v>
      </c>
    </row>
    <row r="30" spans="1:29">
      <c r="A30" s="237"/>
      <c r="B30" s="237"/>
      <c r="C30" s="237"/>
      <c r="D30" s="238"/>
      <c r="E30" s="237"/>
      <c r="F30" s="239"/>
      <c r="G30" s="237"/>
      <c r="H30" s="142"/>
      <c r="I30" s="25" t="s">
        <v>45</v>
      </c>
      <c r="J30" s="96" t="s">
        <v>133</v>
      </c>
      <c r="K30" s="29"/>
      <c r="L30" s="27">
        <f>+K30*3</f>
        <v>0</v>
      </c>
      <c r="M30" s="164"/>
      <c r="N30" s="163">
        <f>+M30*3</f>
        <v>0</v>
      </c>
      <c r="O30" s="28">
        <v>35</v>
      </c>
      <c r="P30" s="11">
        <f t="shared" si="0"/>
        <v>150</v>
      </c>
      <c r="Q30" s="218"/>
      <c r="R30" s="240">
        <f t="shared" si="1"/>
        <v>150</v>
      </c>
      <c r="S30" s="241"/>
      <c r="T30" s="5"/>
      <c r="U30" s="184"/>
      <c r="V30" s="171">
        <v>18</v>
      </c>
      <c r="W30" s="185" t="s">
        <v>149</v>
      </c>
      <c r="X30" s="61"/>
    </row>
    <row r="31" spans="1:29" ht="16.5">
      <c r="A31" s="215"/>
      <c r="H31" s="142"/>
      <c r="I31" s="25" t="s">
        <v>13</v>
      </c>
      <c r="J31" s="81" t="s">
        <v>121</v>
      </c>
      <c r="K31" s="228"/>
      <c r="L31" s="227">
        <f>3*K31</f>
        <v>0</v>
      </c>
      <c r="M31" s="164"/>
      <c r="N31" s="163">
        <v>0</v>
      </c>
      <c r="O31" s="28">
        <v>29</v>
      </c>
      <c r="P31" s="75">
        <f t="shared" si="0"/>
        <v>150</v>
      </c>
      <c r="Q31" s="218"/>
      <c r="R31" s="57">
        <f t="shared" si="1"/>
        <v>150</v>
      </c>
      <c r="S31" s="107"/>
      <c r="T31" s="5"/>
      <c r="U31" s="186" t="s">
        <v>160</v>
      </c>
      <c r="V31" s="172">
        <f>+V30/V29</f>
        <v>4</v>
      </c>
      <c r="W31" s="173" t="s">
        <v>150</v>
      </c>
      <c r="X31" s="61"/>
    </row>
    <row r="32" spans="1:29">
      <c r="A32" s="215"/>
      <c r="H32" s="187" t="s">
        <v>227</v>
      </c>
      <c r="I32" s="188" t="s">
        <v>31</v>
      </c>
      <c r="J32" s="242" t="s">
        <v>127</v>
      </c>
      <c r="K32" s="192"/>
      <c r="L32" s="193">
        <v>0</v>
      </c>
      <c r="M32" s="192"/>
      <c r="N32" s="193">
        <v>0</v>
      </c>
      <c r="O32" s="192">
        <v>3</v>
      </c>
      <c r="P32" s="193">
        <f t="shared" si="0"/>
        <v>18</v>
      </c>
      <c r="Q32" s="221"/>
      <c r="R32" s="193">
        <f t="shared" si="1"/>
        <v>18</v>
      </c>
      <c r="S32" s="197"/>
      <c r="T32" s="5"/>
      <c r="U32" s="58"/>
      <c r="V32" s="59"/>
      <c r="W32" s="60"/>
      <c r="X32" s="65"/>
      <c r="AC32">
        <v>4</v>
      </c>
    </row>
    <row r="33" spans="1:29">
      <c r="A33" s="215"/>
      <c r="H33" s="187" t="s">
        <v>227</v>
      </c>
      <c r="I33" s="188" t="s">
        <v>30</v>
      </c>
      <c r="J33" s="242" t="s">
        <v>126</v>
      </c>
      <c r="K33" s="192"/>
      <c r="L33" s="193">
        <f>+K33*3</f>
        <v>0</v>
      </c>
      <c r="M33" s="192"/>
      <c r="N33" s="193">
        <f>+M33*3</f>
        <v>0</v>
      </c>
      <c r="O33" s="192"/>
      <c r="P33" s="193">
        <f t="shared" si="0"/>
        <v>0</v>
      </c>
      <c r="Q33" s="221"/>
      <c r="R33" s="193">
        <f t="shared" si="1"/>
        <v>0</v>
      </c>
      <c r="S33" s="197"/>
      <c r="T33" s="5"/>
      <c r="U33" s="58"/>
      <c r="V33" s="66"/>
      <c r="W33" s="67"/>
      <c r="X33" s="66"/>
      <c r="Z33">
        <v>186.44069999999999</v>
      </c>
      <c r="AA33">
        <f>+Z33*0.18</f>
        <v>33.559325999999999</v>
      </c>
      <c r="AB33">
        <f>+Z33+AA33</f>
        <v>220.00002599999999</v>
      </c>
      <c r="AC33">
        <f>+AB33*AC32</f>
        <v>880.00010399999996</v>
      </c>
    </row>
    <row r="34" spans="1:29" s="4" customFormat="1">
      <c r="A34" s="215"/>
      <c r="B34"/>
      <c r="C34"/>
      <c r="D34" s="1"/>
      <c r="E34"/>
      <c r="F34" s="2"/>
      <c r="G34"/>
      <c r="H34" s="83"/>
      <c r="I34" s="269" t="s">
        <v>186</v>
      </c>
      <c r="J34" s="270" t="s">
        <v>187</v>
      </c>
      <c r="K34" s="271"/>
      <c r="L34" s="272">
        <v>0</v>
      </c>
      <c r="M34" s="271"/>
      <c r="N34" s="272">
        <v>0</v>
      </c>
      <c r="O34" s="271">
        <v>31</v>
      </c>
      <c r="P34" s="272">
        <f t="shared" si="0"/>
        <v>150</v>
      </c>
      <c r="Q34" s="273"/>
      <c r="R34" s="272">
        <f t="shared" si="1"/>
        <v>150</v>
      </c>
      <c r="S34" s="274"/>
      <c r="T34" s="5"/>
      <c r="U34" s="64"/>
      <c r="V34" s="59"/>
      <c r="W34" s="60"/>
      <c r="X34" s="68"/>
      <c r="Z34" s="4">
        <v>206.44069999999999</v>
      </c>
      <c r="AA34">
        <f>+Z34*0.18</f>
        <v>37.159326</v>
      </c>
      <c r="AB34">
        <f>+Z34+AA34</f>
        <v>243.60002599999999</v>
      </c>
      <c r="AC34" s="4">
        <f>+AB34*AC32</f>
        <v>974.40010399999994</v>
      </c>
    </row>
    <row r="35" spans="1:29">
      <c r="A35" s="215"/>
      <c r="H35" s="83"/>
      <c r="I35" s="25" t="s">
        <v>17</v>
      </c>
      <c r="J35" s="81" t="s">
        <v>123</v>
      </c>
      <c r="K35" s="228"/>
      <c r="L35" s="227">
        <f>+K35*3</f>
        <v>0</v>
      </c>
      <c r="M35" s="164"/>
      <c r="N35" s="163">
        <v>0</v>
      </c>
      <c r="O35" s="74"/>
      <c r="P35" s="75">
        <f t="shared" si="0"/>
        <v>0</v>
      </c>
      <c r="Q35" s="218"/>
      <c r="R35" s="11">
        <f t="shared" si="1"/>
        <v>0</v>
      </c>
      <c r="S35" s="107"/>
      <c r="T35" s="5"/>
      <c r="U35" s="58"/>
      <c r="V35" s="59"/>
      <c r="W35" s="60"/>
      <c r="X35" s="69"/>
      <c r="Z35">
        <f>+Z34-Z33</f>
        <v>20</v>
      </c>
      <c r="AA35">
        <f>+AA34-AA33</f>
        <v>3.6000000000000014</v>
      </c>
      <c r="AB35">
        <f>+AB34-AB33</f>
        <v>23.599999999999994</v>
      </c>
      <c r="AC35">
        <f>+AB35*AC32</f>
        <v>94.399999999999977</v>
      </c>
    </row>
    <row r="36" spans="1:29">
      <c r="A36" s="215"/>
      <c r="H36" s="83"/>
      <c r="I36" s="25" t="s">
        <v>60</v>
      </c>
      <c r="J36" s="81" t="s">
        <v>132</v>
      </c>
      <c r="K36" s="228"/>
      <c r="L36" s="227">
        <v>0</v>
      </c>
      <c r="M36" s="164"/>
      <c r="N36" s="163">
        <v>0</v>
      </c>
      <c r="O36" s="74"/>
      <c r="P36" s="75">
        <f>IF(O36&gt;25,150,(O36)*6)</f>
        <v>0</v>
      </c>
      <c r="Q36" s="218"/>
      <c r="R36" s="11">
        <f>+L36+N36+P36+Q36</f>
        <v>0</v>
      </c>
      <c r="S36" s="107"/>
      <c r="T36" s="5"/>
      <c r="U36" s="58"/>
      <c r="V36" s="59"/>
      <c r="W36" s="60"/>
      <c r="X36" s="65"/>
    </row>
    <row r="37" spans="1:29">
      <c r="H37" s="142"/>
      <c r="I37" s="25" t="s">
        <v>233</v>
      </c>
      <c r="J37" s="81" t="s">
        <v>234</v>
      </c>
      <c r="K37" s="228"/>
      <c r="L37" s="227">
        <v>0</v>
      </c>
      <c r="M37" s="164"/>
      <c r="N37" s="163">
        <v>0</v>
      </c>
      <c r="O37" s="28"/>
      <c r="P37" s="75">
        <f t="shared" si="0"/>
        <v>0</v>
      </c>
      <c r="Q37" s="218"/>
      <c r="R37" s="57">
        <f t="shared" si="1"/>
        <v>0</v>
      </c>
      <c r="S37" s="107"/>
      <c r="T37" s="5"/>
      <c r="U37" s="58"/>
      <c r="V37" s="59"/>
      <c r="W37" s="60"/>
    </row>
    <row r="38" spans="1:29">
      <c r="A38" s="215"/>
      <c r="H38" s="142"/>
      <c r="I38" s="25" t="s">
        <v>8</v>
      </c>
      <c r="J38" s="81" t="s">
        <v>120</v>
      </c>
      <c r="K38" s="228"/>
      <c r="L38" s="227">
        <v>0</v>
      </c>
      <c r="M38" s="164"/>
      <c r="N38" s="163">
        <v>0</v>
      </c>
      <c r="O38" s="28"/>
      <c r="P38" s="75">
        <f t="shared" si="0"/>
        <v>0</v>
      </c>
      <c r="Q38" s="218"/>
      <c r="R38" s="57">
        <f t="shared" si="1"/>
        <v>0</v>
      </c>
      <c r="S38" s="107"/>
      <c r="T38" s="5"/>
      <c r="U38" s="58"/>
      <c r="V38" s="59"/>
      <c r="W38" s="60"/>
      <c r="X38" s="61"/>
    </row>
    <row r="39" spans="1:29">
      <c r="A39" s="215"/>
      <c r="H39" s="83"/>
      <c r="I39" s="25" t="s">
        <v>11</v>
      </c>
      <c r="J39" s="96" t="s">
        <v>130</v>
      </c>
      <c r="K39" s="228"/>
      <c r="L39" s="227">
        <f>+K39*3</f>
        <v>0</v>
      </c>
      <c r="M39" s="164"/>
      <c r="N39" s="163">
        <f>+M39*3</f>
        <v>0</v>
      </c>
      <c r="O39" s="74">
        <v>29</v>
      </c>
      <c r="P39" s="75">
        <f t="shared" si="0"/>
        <v>150</v>
      </c>
      <c r="Q39" s="220"/>
      <c r="R39" s="11">
        <f t="shared" si="1"/>
        <v>150</v>
      </c>
      <c r="S39" s="107"/>
      <c r="T39" s="5"/>
      <c r="U39" s="58"/>
      <c r="V39" s="59"/>
      <c r="W39" s="62"/>
      <c r="X39" s="63"/>
    </row>
    <row r="40" spans="1:29">
      <c r="H40" s="83"/>
      <c r="I40" s="25" t="s">
        <v>44</v>
      </c>
      <c r="J40" s="96" t="s">
        <v>124</v>
      </c>
      <c r="K40" s="228"/>
      <c r="L40" s="227">
        <f>+K40*3</f>
        <v>0</v>
      </c>
      <c r="M40" s="164"/>
      <c r="N40" s="163">
        <f>+M40*3</f>
        <v>0</v>
      </c>
      <c r="O40" s="113"/>
      <c r="P40" s="75">
        <f t="shared" si="0"/>
        <v>0</v>
      </c>
      <c r="Q40" s="218"/>
      <c r="R40" s="11">
        <f t="shared" si="1"/>
        <v>0</v>
      </c>
      <c r="S40" s="107"/>
      <c r="T40" s="5"/>
      <c r="U40" s="58"/>
      <c r="V40" s="59"/>
      <c r="W40" s="67"/>
      <c r="X40" s="66"/>
    </row>
    <row r="41" spans="1:29">
      <c r="H41" s="83"/>
      <c r="I41" s="25" t="s">
        <v>6</v>
      </c>
      <c r="J41" s="96" t="s">
        <v>116</v>
      </c>
      <c r="K41" s="228"/>
      <c r="L41" s="227">
        <f>+K41*3</f>
        <v>0</v>
      </c>
      <c r="M41" s="164"/>
      <c r="N41" s="163">
        <f>+M41*3</f>
        <v>0</v>
      </c>
      <c r="O41" s="74">
        <v>21</v>
      </c>
      <c r="P41" s="75">
        <f t="shared" si="0"/>
        <v>126</v>
      </c>
      <c r="Q41" s="220"/>
      <c r="R41" s="11">
        <f t="shared" si="1"/>
        <v>126</v>
      </c>
      <c r="S41" s="107"/>
      <c r="T41" s="5"/>
      <c r="U41" s="58"/>
      <c r="V41" s="59"/>
      <c r="W41" s="60"/>
      <c r="X41" s="65"/>
    </row>
    <row r="42" spans="1:29">
      <c r="H42" s="95"/>
      <c r="I42" s="25" t="s">
        <v>53</v>
      </c>
      <c r="J42" s="81" t="s">
        <v>135</v>
      </c>
      <c r="K42" s="228"/>
      <c r="L42" s="227">
        <v>0</v>
      </c>
      <c r="M42" s="164"/>
      <c r="N42" s="163">
        <v>0</v>
      </c>
      <c r="O42" s="28">
        <v>29</v>
      </c>
      <c r="P42" s="75">
        <f t="shared" si="0"/>
        <v>150</v>
      </c>
      <c r="Q42" s="218"/>
      <c r="R42" s="11">
        <f t="shared" si="1"/>
        <v>150</v>
      </c>
      <c r="S42" s="107"/>
      <c r="T42" s="5"/>
      <c r="U42" s="58"/>
      <c r="V42" s="59"/>
      <c r="W42" s="60"/>
      <c r="X42" s="65"/>
    </row>
    <row r="43" spans="1:29">
      <c r="H43" s="81"/>
      <c r="I43" s="120" t="s">
        <v>12</v>
      </c>
      <c r="J43" s="150" t="s">
        <v>114</v>
      </c>
      <c r="K43" s="232"/>
      <c r="L43" s="233">
        <v>0</v>
      </c>
      <c r="M43" s="165"/>
      <c r="N43" s="166">
        <f>2.85*M43</f>
        <v>0</v>
      </c>
      <c r="O43" s="122">
        <v>30</v>
      </c>
      <c r="P43" s="147">
        <f t="shared" si="0"/>
        <v>150</v>
      </c>
      <c r="Q43" s="222">
        <v>10</v>
      </c>
      <c r="R43" s="124">
        <f t="shared" si="1"/>
        <v>160</v>
      </c>
      <c r="S43" s="148"/>
      <c r="T43" s="5"/>
      <c r="U43" s="58"/>
      <c r="V43" s="59"/>
      <c r="W43" s="60"/>
      <c r="X43" s="61"/>
    </row>
    <row r="44" spans="1:29">
      <c r="I44" s="13"/>
      <c r="J44" s="14"/>
      <c r="K44" s="234">
        <f t="shared" ref="K44:S44" si="2">SUM(K5:K43)</f>
        <v>0</v>
      </c>
      <c r="L44" s="235">
        <f t="shared" si="2"/>
        <v>0</v>
      </c>
      <c r="M44" s="167">
        <f t="shared" si="2"/>
        <v>0</v>
      </c>
      <c r="N44" s="168">
        <f t="shared" si="2"/>
        <v>0</v>
      </c>
      <c r="O44" s="77">
        <f t="shared" si="2"/>
        <v>527</v>
      </c>
      <c r="P44" s="78">
        <f t="shared" si="2"/>
        <v>2850</v>
      </c>
      <c r="Q44" s="223">
        <f t="shared" si="2"/>
        <v>40</v>
      </c>
      <c r="R44" s="78">
        <f t="shared" si="2"/>
        <v>2890</v>
      </c>
      <c r="S44" s="102">
        <f t="shared" si="2"/>
        <v>0</v>
      </c>
      <c r="T44" s="5"/>
      <c r="U44" s="58"/>
      <c r="V44" s="59"/>
      <c r="W44" s="60"/>
      <c r="X44" s="61"/>
    </row>
    <row r="45" spans="1:29">
      <c r="J45" s="200">
        <f ca="1">TODAY()</f>
        <v>43825</v>
      </c>
      <c r="K45" s="41"/>
      <c r="M45" s="42"/>
      <c r="N45" s="41"/>
      <c r="O45" s="45" t="s">
        <v>81</v>
      </c>
      <c r="Q45" s="42"/>
      <c r="R45" s="45">
        <f>+R15+R16+R21+R24+R32+R33</f>
        <v>270</v>
      </c>
      <c r="T45" s="5"/>
      <c r="U45" s="58"/>
      <c r="V45" s="59"/>
      <c r="W45" s="60"/>
      <c r="X45" s="65"/>
    </row>
    <row r="46" spans="1:29">
      <c r="L46" s="43"/>
      <c r="M46" s="44"/>
      <c r="N46" s="125"/>
      <c r="O46" s="43" t="s">
        <v>91</v>
      </c>
      <c r="P46" s="114"/>
      <c r="Q46" s="110" t="s">
        <v>58</v>
      </c>
      <c r="R46" s="111">
        <f>+R44-R45</f>
        <v>2620</v>
      </c>
      <c r="S46" s="109"/>
      <c r="T46" s="5"/>
      <c r="U46" s="58"/>
      <c r="V46" s="59"/>
      <c r="W46" s="62"/>
      <c r="X46" s="60"/>
    </row>
    <row r="47" spans="1:29" ht="3.95" customHeight="1">
      <c r="P47" s="19"/>
      <c r="U47" s="58"/>
      <c r="V47" s="59"/>
      <c r="W47" s="62"/>
      <c r="X47" s="60"/>
    </row>
    <row r="48" spans="1:29">
      <c r="I48" s="254" t="s">
        <v>259</v>
      </c>
      <c r="P48" s="19"/>
      <c r="U48" s="64"/>
      <c r="V48" s="59"/>
      <c r="W48" s="60"/>
      <c r="X48" s="68"/>
    </row>
    <row r="49" spans="9:24">
      <c r="I49" s="255" t="s">
        <v>260</v>
      </c>
      <c r="P49" s="19"/>
      <c r="U49" s="58"/>
      <c r="V49" s="66"/>
      <c r="W49" s="67"/>
      <c r="X49" s="69"/>
    </row>
    <row r="50" spans="9:24">
      <c r="I50" s="254" t="s">
        <v>261</v>
      </c>
      <c r="P50" s="19"/>
      <c r="U50" s="60"/>
      <c r="V50" s="59"/>
      <c r="W50" s="60"/>
      <c r="X50" s="60"/>
    </row>
    <row r="51" spans="9:24">
      <c r="I51" s="254" t="s">
        <v>262</v>
      </c>
      <c r="P51" s="19"/>
      <c r="U51" s="60"/>
      <c r="V51" s="59"/>
      <c r="W51" s="60"/>
      <c r="X51" s="60"/>
    </row>
    <row r="52" spans="9:24">
      <c r="I52" s="254" t="s">
        <v>263</v>
      </c>
      <c r="P52" s="19"/>
      <c r="U52" s="60"/>
      <c r="V52" s="59"/>
      <c r="W52" s="60"/>
      <c r="X52" s="60"/>
    </row>
    <row r="53" spans="9:24">
      <c r="I53" s="254" t="s">
        <v>264</v>
      </c>
      <c r="U53" s="60"/>
      <c r="V53" s="59"/>
      <c r="W53" s="60"/>
      <c r="X53" s="60"/>
    </row>
    <row r="54" spans="9:24" ht="3.95" customHeight="1">
      <c r="I54" s="254" t="s">
        <v>265</v>
      </c>
      <c r="P54" s="19"/>
      <c r="U54" s="60"/>
      <c r="V54" s="59"/>
      <c r="W54" s="60"/>
      <c r="X54" s="60"/>
    </row>
    <row r="55" spans="9:24">
      <c r="U55" s="60"/>
      <c r="V55" s="59"/>
      <c r="W55" s="60"/>
      <c r="X55" s="60"/>
    </row>
  </sheetData>
  <mergeCells count="4">
    <mergeCell ref="I2:R2"/>
    <mergeCell ref="K3:N3"/>
    <mergeCell ref="O3:P3"/>
    <mergeCell ref="T3:V3"/>
  </mergeCells>
  <conditionalFormatting sqref="R5">
    <cfRule type="cellIs" dxfId="52" priority="2" operator="lessThanOrEqual">
      <formula>0</formula>
    </cfRule>
  </conditionalFormatting>
  <conditionalFormatting sqref="R5:R43">
    <cfRule type="cellIs" dxfId="51" priority="1" operator="greaterThan">
      <formula>0</formula>
    </cfRule>
  </conditionalFormatting>
  <printOptions horizontalCentered="1"/>
  <pageMargins left="0" right="0" top="0.51181102362204722" bottom="0" header="0" footer="0"/>
  <pageSetup paperSize="9" scale="99" orientation="portrait" r:id="rId1"/>
  <ignoredErrors>
    <ignoredError sqref="L22:N27 L18:N19 L20:N20 N15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55"/>
  <sheetViews>
    <sheetView zoomScale="85" zoomScaleNormal="85" workbookViewId="0">
      <pane xSplit="10" ySplit="4" topLeftCell="K44" activePane="bottomRight" state="frozen"/>
      <selection pane="topRight" activeCell="K1" sqref="K1"/>
      <selection pane="bottomLeft" activeCell="A5" sqref="A5"/>
      <selection pane="bottomRight" activeCell="V70" sqref="V70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5.140625" customWidth="1"/>
    <col min="9" max="9" width="7.140625" customWidth="1"/>
    <col min="10" max="10" width="29.28515625" customWidth="1"/>
    <col min="11" max="11" width="1.7109375" customWidth="1"/>
    <col min="12" max="12" width="1.5703125" customWidth="1"/>
    <col min="13" max="13" width="5.7109375" customWidth="1"/>
    <col min="14" max="14" width="11.28515625" customWidth="1"/>
    <col min="15" max="15" width="6.140625" customWidth="1"/>
    <col min="16" max="16" width="11.42578125" customWidth="1"/>
    <col min="17" max="17" width="6.42578125" customWidth="1"/>
    <col min="18" max="18" width="13.85546875" customWidth="1"/>
    <col min="19" max="19" width="2.14062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7" ht="5.0999999999999996" customHeight="1"/>
    <row r="2" spans="8:27">
      <c r="H2" s="83"/>
      <c r="I2" s="439" t="s">
        <v>256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7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7" ht="42.75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198" t="s">
        <v>251</v>
      </c>
      <c r="O4" s="87" t="s">
        <v>15</v>
      </c>
      <c r="P4" s="87" t="s">
        <v>257</v>
      </c>
      <c r="Q4" s="99" t="s">
        <v>258</v>
      </c>
      <c r="R4" s="88" t="s">
        <v>103</v>
      </c>
      <c r="S4" s="139" t="s">
        <v>104</v>
      </c>
      <c r="T4" s="89"/>
      <c r="U4" s="83"/>
      <c r="V4" s="83"/>
    </row>
    <row r="5" spans="8:27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f>+M5*3</f>
        <v>0</v>
      </c>
      <c r="O5" s="76">
        <v>35</v>
      </c>
      <c r="P5" s="75">
        <f t="shared" ref="P5:P41" si="0">IF(O5&gt;25,150,(O5)*6)</f>
        <v>150</v>
      </c>
      <c r="Q5" s="217"/>
      <c r="R5" s="11">
        <f t="shared" ref="R5:R41" si="1">+L5+N5+P5+Q5</f>
        <v>150</v>
      </c>
      <c r="S5" s="106"/>
      <c r="T5" s="5"/>
      <c r="U5" s="258">
        <v>798.8</v>
      </c>
      <c r="V5" s="259">
        <v>103.44</v>
      </c>
      <c r="W5" s="260">
        <v>695.36</v>
      </c>
      <c r="X5" s="265" t="s">
        <v>110</v>
      </c>
      <c r="Y5" s="266"/>
    </row>
    <row r="6" spans="8:27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261">
        <v>720</v>
      </c>
      <c r="V6" s="256">
        <f>+V5*U6/U5</f>
        <v>93.235853780671022</v>
      </c>
      <c r="W6" s="257">
        <f>+U6-V6</f>
        <v>626.76414621932895</v>
      </c>
      <c r="X6" s="36"/>
    </row>
    <row r="7" spans="8:27">
      <c r="H7" s="83"/>
      <c r="I7" s="126" t="s">
        <v>64</v>
      </c>
      <c r="J7" s="80" t="s">
        <v>138</v>
      </c>
      <c r="K7" s="226"/>
      <c r="L7" s="227">
        <f>+K7*3</f>
        <v>0</v>
      </c>
      <c r="M7" s="162">
        <v>17</v>
      </c>
      <c r="N7" s="163">
        <v>0</v>
      </c>
      <c r="O7" s="76"/>
      <c r="P7" s="75">
        <f t="shared" si="0"/>
        <v>0</v>
      </c>
      <c r="Q7" s="217"/>
      <c r="R7" s="11">
        <f t="shared" si="1"/>
        <v>0</v>
      </c>
      <c r="S7" s="106"/>
      <c r="T7" s="5"/>
      <c r="U7" s="32">
        <f>+U5-U6</f>
        <v>78.799999999999955</v>
      </c>
      <c r="V7" s="47"/>
      <c r="W7" s="33"/>
      <c r="X7" s="262" t="s">
        <v>59</v>
      </c>
      <c r="AA7">
        <v>220</v>
      </c>
    </row>
    <row r="8" spans="8:27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>
        <v>21</v>
      </c>
      <c r="P8" s="75">
        <f t="shared" si="0"/>
        <v>126</v>
      </c>
      <c r="Q8" s="217"/>
      <c r="R8" s="11">
        <f t="shared" si="1"/>
        <v>126</v>
      </c>
      <c r="S8" s="138"/>
      <c r="T8" s="5"/>
      <c r="U8" s="34">
        <v>150</v>
      </c>
      <c r="V8" s="38">
        <f>+U8-U7</f>
        <v>71.200000000000045</v>
      </c>
      <c r="W8" s="39" t="s">
        <v>63</v>
      </c>
      <c r="X8" s="263">
        <f>150-V8</f>
        <v>78.799999999999955</v>
      </c>
      <c r="AA8">
        <v>220</v>
      </c>
    </row>
    <row r="9" spans="8:27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>
        <v>28</v>
      </c>
      <c r="P9" s="75">
        <f t="shared" si="0"/>
        <v>150</v>
      </c>
      <c r="Q9" s="218"/>
      <c r="R9" s="11">
        <f t="shared" si="1"/>
        <v>150</v>
      </c>
      <c r="S9" s="107"/>
      <c r="T9" s="5"/>
      <c r="U9" s="10"/>
      <c r="X9" s="37"/>
      <c r="AA9">
        <v>140</v>
      </c>
    </row>
    <row r="10" spans="8:27" ht="15" customHeight="1">
      <c r="H10" s="95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28">
        <v>4</v>
      </c>
      <c r="P10" s="75">
        <f t="shared" si="0"/>
        <v>24</v>
      </c>
      <c r="Q10" s="218"/>
      <c r="R10" s="11">
        <f t="shared" si="1"/>
        <v>24</v>
      </c>
      <c r="S10" s="197"/>
      <c r="T10" s="5"/>
      <c r="U10" s="258">
        <v>728.8</v>
      </c>
      <c r="V10" s="259">
        <v>103.44</v>
      </c>
      <c r="W10" s="260">
        <v>695.36</v>
      </c>
      <c r="X10" s="264" t="s">
        <v>35</v>
      </c>
      <c r="Y10" s="266"/>
      <c r="AA10">
        <v>40</v>
      </c>
    </row>
    <row r="11" spans="8:27">
      <c r="H11" s="141"/>
      <c r="I11" s="126" t="s">
        <v>56</v>
      </c>
      <c r="J11" s="80" t="s">
        <v>136</v>
      </c>
      <c r="K11" s="226"/>
      <c r="L11" s="227">
        <v>0</v>
      </c>
      <c r="M11" s="162">
        <v>18</v>
      </c>
      <c r="N11" s="163">
        <f>2.7*M11</f>
        <v>48.6</v>
      </c>
      <c r="O11" s="74"/>
      <c r="P11" s="75">
        <f t="shared" si="0"/>
        <v>0</v>
      </c>
      <c r="Q11" s="217">
        <v>20</v>
      </c>
      <c r="R11" s="9">
        <f t="shared" si="1"/>
        <v>68.599999999999994</v>
      </c>
      <c r="S11" s="107"/>
      <c r="T11" s="5"/>
      <c r="U11" s="261">
        <v>720</v>
      </c>
      <c r="V11" s="256">
        <f>+V10*U11/U10</f>
        <v>102.19099890230517</v>
      </c>
      <c r="W11" s="257">
        <f>+U11-V11</f>
        <v>617.80900109769482</v>
      </c>
      <c r="X11" s="37"/>
      <c r="AA11">
        <v>55</v>
      </c>
    </row>
    <row r="12" spans="8:27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>
        <v>28</v>
      </c>
      <c r="P12" s="75">
        <f t="shared" si="0"/>
        <v>150</v>
      </c>
      <c r="Q12" s="218"/>
      <c r="R12" s="9">
        <f t="shared" si="1"/>
        <v>150</v>
      </c>
      <c r="S12" s="106"/>
      <c r="T12" s="5"/>
      <c r="U12" s="32">
        <f>+U10-U11</f>
        <v>8.7999999999999545</v>
      </c>
      <c r="V12" s="47"/>
      <c r="W12" s="33"/>
      <c r="X12" s="262" t="s">
        <v>59</v>
      </c>
      <c r="AA12">
        <v>80</v>
      </c>
    </row>
    <row r="13" spans="8:27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141.20000000000005</v>
      </c>
      <c r="W13" s="39" t="s">
        <v>63</v>
      </c>
      <c r="X13" s="263">
        <f>150-V13</f>
        <v>8.7999999999999545</v>
      </c>
      <c r="AA13">
        <v>70</v>
      </c>
    </row>
    <row r="14" spans="8:27">
      <c r="H14" s="95"/>
      <c r="I14" s="25" t="s">
        <v>20</v>
      </c>
      <c r="J14" s="81" t="s">
        <v>195</v>
      </c>
      <c r="K14" s="228"/>
      <c r="L14" s="227">
        <f>+K14*3</f>
        <v>0</v>
      </c>
      <c r="M14" s="164"/>
      <c r="N14" s="163">
        <f>+M14*3</f>
        <v>0</v>
      </c>
      <c r="O14" s="28">
        <v>23</v>
      </c>
      <c r="P14" s="75">
        <f t="shared" si="0"/>
        <v>138</v>
      </c>
      <c r="Q14" s="218"/>
      <c r="R14" s="9">
        <f t="shared" si="1"/>
        <v>138</v>
      </c>
      <c r="S14" s="107"/>
      <c r="T14" s="5"/>
      <c r="U14" s="10"/>
      <c r="X14" s="37"/>
      <c r="AA14">
        <f>SUM(AA7:AA13)</f>
        <v>825</v>
      </c>
    </row>
    <row r="15" spans="8:27">
      <c r="H15" s="187" t="s">
        <v>170</v>
      </c>
      <c r="I15" s="188" t="s">
        <v>25</v>
      </c>
      <c r="J15" s="242" t="s">
        <v>118</v>
      </c>
      <c r="K15" s="192"/>
      <c r="L15" s="193">
        <f>+K15*3</f>
        <v>0</v>
      </c>
      <c r="M15" s="192"/>
      <c r="N15" s="193">
        <f>+M15*3</f>
        <v>0</v>
      </c>
      <c r="O15" s="192">
        <v>29</v>
      </c>
      <c r="P15" s="193">
        <f t="shared" si="0"/>
        <v>150</v>
      </c>
      <c r="Q15" s="221"/>
      <c r="R15" s="193">
        <f t="shared" si="1"/>
        <v>150</v>
      </c>
      <c r="S15" s="197"/>
      <c r="T15" s="5"/>
      <c r="U15" s="258">
        <v>744</v>
      </c>
      <c r="V15" s="259">
        <v>96.72</v>
      </c>
      <c r="W15" s="260">
        <v>647.28</v>
      </c>
      <c r="X15" s="100"/>
      <c r="Y15" s="266"/>
    </row>
    <row r="16" spans="8:27">
      <c r="H16" s="95"/>
      <c r="I16" s="25" t="s">
        <v>41</v>
      </c>
      <c r="J16" s="81" t="s">
        <v>112</v>
      </c>
      <c r="K16" s="228"/>
      <c r="L16" s="227">
        <f>+K16*3</f>
        <v>0</v>
      </c>
      <c r="M16" s="164"/>
      <c r="N16" s="163">
        <f>+M16*3</f>
        <v>0</v>
      </c>
      <c r="O16" s="28"/>
      <c r="P16" s="75">
        <f t="shared" si="0"/>
        <v>0</v>
      </c>
      <c r="Q16" s="218"/>
      <c r="R16" s="11">
        <f t="shared" si="1"/>
        <v>0</v>
      </c>
      <c r="S16" s="107"/>
      <c r="T16" s="5"/>
      <c r="U16" s="261">
        <v>720</v>
      </c>
      <c r="V16" s="256">
        <f>+V15*U16/U15</f>
        <v>93.6</v>
      </c>
      <c r="W16" s="257">
        <f>+U16-V16</f>
        <v>626.4</v>
      </c>
      <c r="X16" s="37"/>
    </row>
    <row r="17" spans="1:29">
      <c r="A17" s="215"/>
      <c r="H17" s="83"/>
      <c r="I17" s="126" t="s">
        <v>71</v>
      </c>
      <c r="J17" s="80" t="s">
        <v>139</v>
      </c>
      <c r="K17" s="226"/>
      <c r="L17" s="227">
        <f>5*K17</f>
        <v>0</v>
      </c>
      <c r="M17" s="162"/>
      <c r="N17" s="163">
        <f>5*M17</f>
        <v>0</v>
      </c>
      <c r="O17" s="76">
        <v>30</v>
      </c>
      <c r="P17" s="75">
        <f t="shared" si="0"/>
        <v>150</v>
      </c>
      <c r="Q17" s="217"/>
      <c r="R17" s="11">
        <f t="shared" si="1"/>
        <v>150</v>
      </c>
      <c r="S17" s="106"/>
      <c r="T17" s="5"/>
      <c r="U17" s="32">
        <f>+U15-U16</f>
        <v>24</v>
      </c>
      <c r="V17" s="47"/>
      <c r="W17" s="33"/>
      <c r="X17" s="262" t="s">
        <v>59</v>
      </c>
    </row>
    <row r="18" spans="1:29">
      <c r="A18" s="215"/>
      <c r="H18" s="141"/>
      <c r="I18" s="25" t="s">
        <v>28</v>
      </c>
      <c r="J18" s="81" t="s">
        <v>122</v>
      </c>
      <c r="K18" s="228"/>
      <c r="L18" s="227">
        <f>+K18*3</f>
        <v>0</v>
      </c>
      <c r="M18" s="164"/>
      <c r="N18" s="163">
        <f>+M18*3</f>
        <v>0</v>
      </c>
      <c r="O18" s="74"/>
      <c r="P18" s="75">
        <f t="shared" si="0"/>
        <v>0</v>
      </c>
      <c r="Q18" s="217"/>
      <c r="R18" s="9">
        <f t="shared" si="1"/>
        <v>0</v>
      </c>
      <c r="S18" s="107"/>
      <c r="T18" s="5"/>
      <c r="U18" s="34">
        <v>150</v>
      </c>
      <c r="V18" s="38">
        <f>+U18-U17</f>
        <v>126</v>
      </c>
      <c r="W18" s="39" t="s">
        <v>63</v>
      </c>
      <c r="X18" s="263">
        <f>150-V18</f>
        <v>24</v>
      </c>
    </row>
    <row r="19" spans="1:29">
      <c r="A19" s="215"/>
      <c r="H19" s="141"/>
      <c r="I19" s="25" t="s">
        <v>10</v>
      </c>
      <c r="J19" s="81" t="s">
        <v>191</v>
      </c>
      <c r="K19" s="228"/>
      <c r="L19" s="227">
        <f>3*K19</f>
        <v>0</v>
      </c>
      <c r="M19" s="164">
        <v>3</v>
      </c>
      <c r="N19" s="163">
        <v>0</v>
      </c>
      <c r="O19" s="74"/>
      <c r="P19" s="75">
        <f t="shared" si="0"/>
        <v>0</v>
      </c>
      <c r="Q19" s="217"/>
      <c r="R19" s="9">
        <f t="shared" si="1"/>
        <v>0</v>
      </c>
      <c r="S19" s="107"/>
      <c r="T19" s="5"/>
      <c r="U19" s="10"/>
      <c r="X19" s="37"/>
    </row>
    <row r="20" spans="1:29">
      <c r="A20" s="215"/>
      <c r="H20" s="142"/>
      <c r="I20" s="25" t="s">
        <v>4</v>
      </c>
      <c r="J20" s="81" t="s">
        <v>111</v>
      </c>
      <c r="K20" s="228"/>
      <c r="L20" s="227">
        <v>0</v>
      </c>
      <c r="M20" s="164"/>
      <c r="N20" s="163">
        <v>0</v>
      </c>
      <c r="O20" s="28">
        <v>28</v>
      </c>
      <c r="P20" s="75">
        <f t="shared" si="0"/>
        <v>150</v>
      </c>
      <c r="Q20" s="218"/>
      <c r="R20" s="11">
        <f t="shared" si="1"/>
        <v>150</v>
      </c>
      <c r="S20" s="107"/>
      <c r="T20" s="5"/>
      <c r="U20" s="58"/>
      <c r="V20" s="59"/>
      <c r="W20" s="60"/>
      <c r="X20" s="61"/>
    </row>
    <row r="21" spans="1:29">
      <c r="A21" s="215"/>
      <c r="H21" s="142"/>
      <c r="I21" s="25" t="s">
        <v>9</v>
      </c>
      <c r="J21" s="81" t="s">
        <v>128</v>
      </c>
      <c r="K21" s="228"/>
      <c r="L21" s="227">
        <v>0</v>
      </c>
      <c r="M21" s="164">
        <v>17</v>
      </c>
      <c r="N21" s="163">
        <v>0</v>
      </c>
      <c r="O21" s="28"/>
      <c r="P21" s="75">
        <f t="shared" si="0"/>
        <v>0</v>
      </c>
      <c r="Q21" s="218"/>
      <c r="R21" s="57">
        <f t="shared" si="1"/>
        <v>0</v>
      </c>
      <c r="S21" s="107"/>
      <c r="T21" s="5"/>
      <c r="U21" s="103" t="s">
        <v>161</v>
      </c>
    </row>
    <row r="22" spans="1:29">
      <c r="A22" s="215"/>
      <c r="H22" s="251" t="s">
        <v>50</v>
      </c>
      <c r="I22" s="252" t="s">
        <v>236</v>
      </c>
      <c r="J22" s="250" t="s">
        <v>235</v>
      </c>
      <c r="K22" s="229"/>
      <c r="L22" s="230">
        <v>0</v>
      </c>
      <c r="M22" s="160">
        <v>15</v>
      </c>
      <c r="N22" s="161">
        <v>0</v>
      </c>
      <c r="O22" s="23"/>
      <c r="P22" s="24">
        <f t="shared" si="0"/>
        <v>0</v>
      </c>
      <c r="Q22" s="219"/>
      <c r="R22" s="24">
        <f t="shared" si="1"/>
        <v>0</v>
      </c>
      <c r="S22" s="108"/>
      <c r="T22" s="5"/>
      <c r="U22" s="176" t="s">
        <v>158</v>
      </c>
      <c r="V22" s="177" t="s">
        <v>159</v>
      </c>
      <c r="W22" s="178"/>
      <c r="X22" s="174" t="s">
        <v>157</v>
      </c>
    </row>
    <row r="23" spans="1:29">
      <c r="A23" s="237"/>
      <c r="B23" s="237"/>
      <c r="C23" s="237"/>
      <c r="D23" s="238"/>
      <c r="E23" s="237"/>
      <c r="F23" s="239"/>
      <c r="G23" s="237"/>
      <c r="H23" s="142"/>
      <c r="I23" s="25" t="s">
        <v>51</v>
      </c>
      <c r="J23" s="96" t="s">
        <v>134</v>
      </c>
      <c r="K23" s="29"/>
      <c r="L23" s="27">
        <f>+K23*3</f>
        <v>0</v>
      </c>
      <c r="M23" s="164"/>
      <c r="N23" s="163">
        <f>+M23*3</f>
        <v>0</v>
      </c>
      <c r="O23" s="28"/>
      <c r="P23" s="11">
        <f t="shared" si="0"/>
        <v>0</v>
      </c>
      <c r="Q23" s="218"/>
      <c r="R23" s="240">
        <f t="shared" si="1"/>
        <v>0</v>
      </c>
      <c r="S23" s="241"/>
      <c r="T23" s="5"/>
      <c r="U23" s="176" t="s">
        <v>158</v>
      </c>
      <c r="V23" s="177" t="s">
        <v>159</v>
      </c>
      <c r="W23" s="178"/>
      <c r="X23" s="174" t="s">
        <v>157</v>
      </c>
    </row>
    <row r="24" spans="1:29">
      <c r="A24" s="215"/>
      <c r="H24" s="83"/>
      <c r="I24" s="126" t="s">
        <v>61</v>
      </c>
      <c r="J24" s="80" t="s">
        <v>137</v>
      </c>
      <c r="K24" s="226"/>
      <c r="L24" s="227">
        <f>3*K24</f>
        <v>0</v>
      </c>
      <c r="M24" s="162">
        <v>19</v>
      </c>
      <c r="N24" s="163">
        <f>2.85*M24</f>
        <v>54.15</v>
      </c>
      <c r="O24" s="72"/>
      <c r="P24" s="75">
        <f t="shared" si="0"/>
        <v>0</v>
      </c>
      <c r="Q24" s="217"/>
      <c r="R24" s="11">
        <f t="shared" si="1"/>
        <v>54.15</v>
      </c>
      <c r="S24" s="106"/>
      <c r="T24" s="5"/>
      <c r="U24" s="179">
        <v>43480</v>
      </c>
      <c r="V24" s="170">
        <v>1</v>
      </c>
      <c r="W24" s="180"/>
      <c r="X24" s="33" t="s">
        <v>156</v>
      </c>
    </row>
    <row r="25" spans="1:29">
      <c r="A25" s="215"/>
      <c r="H25" s="83"/>
      <c r="I25" s="25" t="s">
        <v>14</v>
      </c>
      <c r="J25" s="96" t="s">
        <v>125</v>
      </c>
      <c r="K25" s="228"/>
      <c r="L25" s="227">
        <f>+K25*3</f>
        <v>0</v>
      </c>
      <c r="M25" s="164"/>
      <c r="N25" s="163">
        <v>0</v>
      </c>
      <c r="O25" s="74">
        <v>25</v>
      </c>
      <c r="P25" s="75">
        <f t="shared" si="0"/>
        <v>150</v>
      </c>
      <c r="Q25" s="218"/>
      <c r="R25" s="11">
        <f t="shared" si="1"/>
        <v>150</v>
      </c>
      <c r="S25" s="107"/>
      <c r="T25" s="5"/>
      <c r="U25" s="179">
        <f>1+U24</f>
        <v>43481</v>
      </c>
      <c r="V25" s="170">
        <v>1</v>
      </c>
      <c r="W25" s="181"/>
      <c r="X25" s="33" t="s">
        <v>151</v>
      </c>
    </row>
    <row r="26" spans="1:29">
      <c r="A26" s="215"/>
      <c r="H26" s="83"/>
      <c r="I26" s="126" t="s">
        <v>79</v>
      </c>
      <c r="J26" s="82" t="s">
        <v>110</v>
      </c>
      <c r="K26" s="228"/>
      <c r="L26" s="227">
        <v>0</v>
      </c>
      <c r="M26" s="164"/>
      <c r="N26" s="163">
        <f>3*M26</f>
        <v>0</v>
      </c>
      <c r="O26" s="76">
        <v>33</v>
      </c>
      <c r="P26" s="75">
        <f t="shared" si="0"/>
        <v>150</v>
      </c>
      <c r="Q26" s="217"/>
      <c r="R26" s="11">
        <f t="shared" si="1"/>
        <v>150</v>
      </c>
      <c r="S26" s="106"/>
      <c r="T26" s="5"/>
      <c r="U26" s="179">
        <f>1+U25</f>
        <v>43482</v>
      </c>
      <c r="V26" s="170">
        <v>1</v>
      </c>
      <c r="W26" s="182"/>
      <c r="X26" s="33" t="s">
        <v>152</v>
      </c>
    </row>
    <row r="27" spans="1:29">
      <c r="H27" s="83"/>
      <c r="I27" s="269" t="s">
        <v>214</v>
      </c>
      <c r="J27" s="270" t="s">
        <v>215</v>
      </c>
      <c r="K27" s="271"/>
      <c r="L27" s="272">
        <v>0</v>
      </c>
      <c r="M27" s="271"/>
      <c r="N27" s="272">
        <f>3*M27</f>
        <v>0</v>
      </c>
      <c r="O27" s="271">
        <v>27</v>
      </c>
      <c r="P27" s="272">
        <f t="shared" si="0"/>
        <v>150</v>
      </c>
      <c r="Q27" s="273"/>
      <c r="R27" s="272">
        <f t="shared" si="1"/>
        <v>150</v>
      </c>
      <c r="S27" s="274"/>
      <c r="T27" s="5"/>
      <c r="U27" s="179">
        <f>1+U26</f>
        <v>43483</v>
      </c>
      <c r="V27" s="170">
        <v>1</v>
      </c>
      <c r="W27" s="181"/>
      <c r="X27" s="33" t="s">
        <v>153</v>
      </c>
    </row>
    <row r="28" spans="1:29">
      <c r="A28" s="237"/>
      <c r="B28" s="237"/>
      <c r="C28" s="237"/>
      <c r="D28" s="238"/>
      <c r="E28" s="237"/>
      <c r="F28" s="239"/>
      <c r="G28" s="237"/>
      <c r="H28" s="142"/>
      <c r="I28" s="25" t="s">
        <v>45</v>
      </c>
      <c r="J28" s="96" t="s">
        <v>133</v>
      </c>
      <c r="K28" s="29"/>
      <c r="L28" s="27">
        <f>+K28*3</f>
        <v>0</v>
      </c>
      <c r="M28" s="164"/>
      <c r="N28" s="163">
        <f>+M28*3</f>
        <v>0</v>
      </c>
      <c r="O28" s="28">
        <v>35</v>
      </c>
      <c r="P28" s="11">
        <f t="shared" si="0"/>
        <v>150</v>
      </c>
      <c r="Q28" s="218"/>
      <c r="R28" s="240">
        <f t="shared" si="1"/>
        <v>150</v>
      </c>
      <c r="S28" s="241"/>
      <c r="T28" s="5"/>
      <c r="U28" s="179">
        <f>1+U27</f>
        <v>43484</v>
      </c>
      <c r="V28" s="170">
        <v>0.5</v>
      </c>
      <c r="W28" s="183"/>
      <c r="X28" s="33" t="s">
        <v>154</v>
      </c>
    </row>
    <row r="29" spans="1:29">
      <c r="A29" s="215"/>
      <c r="H29" s="142"/>
      <c r="I29" s="25" t="s">
        <v>13</v>
      </c>
      <c r="J29" s="81" t="s">
        <v>121</v>
      </c>
      <c r="K29" s="228"/>
      <c r="L29" s="227">
        <f>3*K29</f>
        <v>0</v>
      </c>
      <c r="M29" s="164"/>
      <c r="N29" s="163">
        <v>0</v>
      </c>
      <c r="O29" s="28">
        <v>18</v>
      </c>
      <c r="P29" s="75">
        <f t="shared" si="0"/>
        <v>108</v>
      </c>
      <c r="Q29" s="218"/>
      <c r="R29" s="57">
        <f t="shared" si="1"/>
        <v>108</v>
      </c>
      <c r="S29" s="107"/>
      <c r="T29" s="5"/>
      <c r="U29" s="184"/>
      <c r="V29" s="170">
        <f>SUM(V24:V28)</f>
        <v>4.5</v>
      </c>
      <c r="W29" s="183" t="s">
        <v>148</v>
      </c>
      <c r="X29" s="175" t="s">
        <v>155</v>
      </c>
    </row>
    <row r="30" spans="1:29">
      <c r="A30" s="215"/>
      <c r="H30" s="187" t="s">
        <v>170</v>
      </c>
      <c r="I30" s="188" t="s">
        <v>31</v>
      </c>
      <c r="J30" s="242" t="s">
        <v>127</v>
      </c>
      <c r="K30" s="192"/>
      <c r="L30" s="193">
        <v>0</v>
      </c>
      <c r="M30" s="192"/>
      <c r="N30" s="193">
        <v>0</v>
      </c>
      <c r="O30" s="192">
        <v>20</v>
      </c>
      <c r="P30" s="193">
        <f t="shared" si="0"/>
        <v>120</v>
      </c>
      <c r="Q30" s="221"/>
      <c r="R30" s="193">
        <f t="shared" si="1"/>
        <v>120</v>
      </c>
      <c r="S30" s="197"/>
      <c r="T30" s="5"/>
      <c r="U30" s="184"/>
      <c r="V30" s="171">
        <v>18</v>
      </c>
      <c r="W30" s="185" t="s">
        <v>149</v>
      </c>
      <c r="X30" s="61"/>
    </row>
    <row r="31" spans="1:29" ht="16.5">
      <c r="A31" s="215"/>
      <c r="H31" s="187" t="s">
        <v>170</v>
      </c>
      <c r="I31" s="188" t="s">
        <v>30</v>
      </c>
      <c r="J31" s="242" t="s">
        <v>126</v>
      </c>
      <c r="K31" s="192"/>
      <c r="L31" s="193">
        <f>+K31*3</f>
        <v>0</v>
      </c>
      <c r="M31" s="192"/>
      <c r="N31" s="193">
        <f>+M31*3</f>
        <v>0</v>
      </c>
      <c r="O31" s="192">
        <v>2</v>
      </c>
      <c r="P31" s="193">
        <f t="shared" si="0"/>
        <v>12</v>
      </c>
      <c r="Q31" s="221"/>
      <c r="R31" s="193">
        <f t="shared" si="1"/>
        <v>12</v>
      </c>
      <c r="S31" s="197"/>
      <c r="T31" s="5"/>
      <c r="U31" s="186" t="s">
        <v>160</v>
      </c>
      <c r="V31" s="284">
        <f>+V30/V29</f>
        <v>4</v>
      </c>
      <c r="W31" s="173" t="s">
        <v>150</v>
      </c>
      <c r="X31" s="61"/>
    </row>
    <row r="32" spans="1:29">
      <c r="A32" s="215"/>
      <c r="H32" s="83"/>
      <c r="I32" s="269" t="s">
        <v>186</v>
      </c>
      <c r="J32" s="270" t="s">
        <v>187</v>
      </c>
      <c r="K32" s="271"/>
      <c r="L32" s="272">
        <v>0</v>
      </c>
      <c r="M32" s="271"/>
      <c r="N32" s="272">
        <v>0</v>
      </c>
      <c r="O32" s="271">
        <v>29</v>
      </c>
      <c r="P32" s="272">
        <f t="shared" si="0"/>
        <v>150</v>
      </c>
      <c r="Q32" s="273"/>
      <c r="R32" s="272">
        <f t="shared" si="1"/>
        <v>150</v>
      </c>
      <c r="S32" s="274"/>
      <c r="T32" s="5"/>
      <c r="U32" s="58"/>
      <c r="V32" s="59"/>
      <c r="W32" s="60"/>
      <c r="X32" s="65"/>
      <c r="AC32">
        <v>4</v>
      </c>
    </row>
    <row r="33" spans="1:29">
      <c r="A33" s="215"/>
      <c r="H33" s="83"/>
      <c r="I33" s="25" t="s">
        <v>17</v>
      </c>
      <c r="J33" s="81" t="s">
        <v>123</v>
      </c>
      <c r="K33" s="228"/>
      <c r="L33" s="227">
        <f>+K33*3</f>
        <v>0</v>
      </c>
      <c r="M33" s="164">
        <v>13</v>
      </c>
      <c r="N33" s="163">
        <v>0</v>
      </c>
      <c r="O33" s="74">
        <v>1</v>
      </c>
      <c r="P33" s="75">
        <f t="shared" si="0"/>
        <v>6</v>
      </c>
      <c r="Q33" s="218"/>
      <c r="R33" s="11">
        <f t="shared" si="1"/>
        <v>6</v>
      </c>
      <c r="S33" s="107"/>
      <c r="T33" s="5"/>
      <c r="U33" s="58"/>
      <c r="V33" s="66"/>
      <c r="W33" s="67"/>
      <c r="X33" s="66"/>
      <c r="Z33">
        <v>186.44069999999999</v>
      </c>
      <c r="AA33">
        <f>+Z33*0.18</f>
        <v>33.559325999999999</v>
      </c>
      <c r="AB33">
        <f>+Z33+AA33</f>
        <v>220.00002599999999</v>
      </c>
      <c r="AC33">
        <f>+AB33*AC32</f>
        <v>880.00010399999996</v>
      </c>
    </row>
    <row r="34" spans="1:29" s="4" customFormat="1">
      <c r="A34" s="215"/>
      <c r="B34"/>
      <c r="C34"/>
      <c r="D34" s="1"/>
      <c r="E34"/>
      <c r="F34" s="2"/>
      <c r="G34"/>
      <c r="H34" s="83"/>
      <c r="I34" s="25" t="s">
        <v>60</v>
      </c>
      <c r="J34" s="81" t="s">
        <v>132</v>
      </c>
      <c r="K34" s="228"/>
      <c r="L34" s="227">
        <v>0</v>
      </c>
      <c r="M34" s="164"/>
      <c r="N34" s="163">
        <v>0</v>
      </c>
      <c r="O34" s="74"/>
      <c r="P34" s="75">
        <f>IF(O34&gt;25,150,(O34)*6)</f>
        <v>0</v>
      </c>
      <c r="Q34" s="218"/>
      <c r="R34" s="11">
        <f>+L34+N34+P34+Q34</f>
        <v>0</v>
      </c>
      <c r="S34" s="107"/>
      <c r="T34" s="5"/>
      <c r="U34" s="64"/>
      <c r="V34" s="59"/>
      <c r="W34" s="60"/>
      <c r="X34" s="68"/>
      <c r="Z34" s="4">
        <v>206.44069999999999</v>
      </c>
      <c r="AA34">
        <f>+Z34*0.18</f>
        <v>37.159326</v>
      </c>
      <c r="AB34">
        <f>+Z34+AA34</f>
        <v>243.60002599999999</v>
      </c>
      <c r="AC34" s="4">
        <f>+AB34*AC32</f>
        <v>974.40010399999994</v>
      </c>
    </row>
    <row r="35" spans="1:29">
      <c r="H35" s="142"/>
      <c r="I35" s="25" t="s">
        <v>233</v>
      </c>
      <c r="J35" s="81" t="s">
        <v>234</v>
      </c>
      <c r="K35" s="228"/>
      <c r="L35" s="227">
        <v>0</v>
      </c>
      <c r="M35" s="164">
        <v>17</v>
      </c>
      <c r="N35" s="163">
        <v>0</v>
      </c>
      <c r="O35" s="28"/>
      <c r="P35" s="75">
        <f t="shared" si="0"/>
        <v>0</v>
      </c>
      <c r="Q35" s="218"/>
      <c r="R35" s="57">
        <f t="shared" si="1"/>
        <v>0</v>
      </c>
      <c r="S35" s="107"/>
      <c r="T35" s="5"/>
      <c r="U35" s="58"/>
      <c r="V35" s="59"/>
      <c r="W35" s="60"/>
      <c r="X35" s="69"/>
      <c r="Z35">
        <f>+Z34-Z33</f>
        <v>20</v>
      </c>
      <c r="AA35">
        <f>+AA34-AA33</f>
        <v>3.6000000000000014</v>
      </c>
      <c r="AB35">
        <f>+AB34-AB33</f>
        <v>23.599999999999994</v>
      </c>
      <c r="AC35">
        <f>+AB35*AC32</f>
        <v>94.399999999999977</v>
      </c>
    </row>
    <row r="36" spans="1:29">
      <c r="A36" s="215"/>
      <c r="H36" s="142"/>
      <c r="I36" s="25" t="s">
        <v>8</v>
      </c>
      <c r="J36" s="81" t="s">
        <v>120</v>
      </c>
      <c r="K36" s="228"/>
      <c r="L36" s="227">
        <v>0</v>
      </c>
      <c r="M36" s="164"/>
      <c r="N36" s="163">
        <v>0</v>
      </c>
      <c r="O36" s="28">
        <v>28</v>
      </c>
      <c r="P36" s="75">
        <f t="shared" si="0"/>
        <v>150</v>
      </c>
      <c r="Q36" s="218"/>
      <c r="R36" s="57">
        <f t="shared" si="1"/>
        <v>150</v>
      </c>
      <c r="S36" s="107"/>
      <c r="T36" s="5"/>
      <c r="U36" s="58"/>
      <c r="V36" s="59"/>
      <c r="W36" s="60"/>
      <c r="X36" s="65"/>
    </row>
    <row r="37" spans="1:29">
      <c r="A37" s="215"/>
      <c r="H37" s="83"/>
      <c r="I37" s="25" t="s">
        <v>11</v>
      </c>
      <c r="J37" s="96" t="s">
        <v>130</v>
      </c>
      <c r="K37" s="228"/>
      <c r="L37" s="227">
        <f>+K37*3</f>
        <v>0</v>
      </c>
      <c r="M37" s="164"/>
      <c r="N37" s="163">
        <f>+M37*3</f>
        <v>0</v>
      </c>
      <c r="O37" s="74">
        <v>24</v>
      </c>
      <c r="P37" s="75">
        <f t="shared" si="0"/>
        <v>144</v>
      </c>
      <c r="Q37" s="220"/>
      <c r="R37" s="11">
        <f t="shared" si="1"/>
        <v>144</v>
      </c>
      <c r="S37" s="107"/>
      <c r="T37" s="5"/>
      <c r="U37" s="58"/>
      <c r="V37" s="59"/>
      <c r="W37" s="60"/>
    </row>
    <row r="38" spans="1:29">
      <c r="H38" s="83"/>
      <c r="I38" s="25" t="s">
        <v>44</v>
      </c>
      <c r="J38" s="96" t="s">
        <v>124</v>
      </c>
      <c r="K38" s="228"/>
      <c r="L38" s="227">
        <f>+K38*3</f>
        <v>0</v>
      </c>
      <c r="M38" s="164"/>
      <c r="N38" s="163">
        <f>+M38*3</f>
        <v>0</v>
      </c>
      <c r="O38" s="113"/>
      <c r="P38" s="75">
        <f t="shared" si="0"/>
        <v>0</v>
      </c>
      <c r="Q38" s="218"/>
      <c r="R38" s="11">
        <f t="shared" si="1"/>
        <v>0</v>
      </c>
      <c r="S38" s="107"/>
      <c r="T38" s="5"/>
      <c r="U38" s="58"/>
      <c r="V38" s="59"/>
      <c r="W38" s="60"/>
      <c r="X38" s="61"/>
    </row>
    <row r="39" spans="1:29">
      <c r="H39" s="83"/>
      <c r="I39" s="25" t="s">
        <v>6</v>
      </c>
      <c r="J39" s="96" t="s">
        <v>116</v>
      </c>
      <c r="K39" s="228"/>
      <c r="L39" s="227">
        <f>+K39*3</f>
        <v>0</v>
      </c>
      <c r="M39" s="164"/>
      <c r="N39" s="163">
        <f>+M39*3</f>
        <v>0</v>
      </c>
      <c r="O39" s="74">
        <v>23</v>
      </c>
      <c r="P39" s="75">
        <f t="shared" si="0"/>
        <v>138</v>
      </c>
      <c r="Q39" s="220"/>
      <c r="R39" s="11">
        <f t="shared" si="1"/>
        <v>138</v>
      </c>
      <c r="S39" s="107"/>
      <c r="T39" s="5"/>
      <c r="U39" s="58"/>
      <c r="V39" s="59"/>
      <c r="W39" s="62"/>
      <c r="X39" s="63"/>
    </row>
    <row r="40" spans="1:29">
      <c r="H40" s="95"/>
      <c r="I40" s="25" t="s">
        <v>53</v>
      </c>
      <c r="J40" s="81" t="s">
        <v>135</v>
      </c>
      <c r="K40" s="228"/>
      <c r="L40" s="227">
        <v>0</v>
      </c>
      <c r="M40" s="164"/>
      <c r="N40" s="163">
        <v>0</v>
      </c>
      <c r="O40" s="28">
        <v>27</v>
      </c>
      <c r="P40" s="75">
        <f t="shared" si="0"/>
        <v>150</v>
      </c>
      <c r="Q40" s="218"/>
      <c r="R40" s="11">
        <f t="shared" si="1"/>
        <v>150</v>
      </c>
      <c r="S40" s="107"/>
      <c r="T40" s="5"/>
      <c r="U40" s="58"/>
      <c r="V40" s="59"/>
      <c r="W40" s="67"/>
      <c r="X40" s="66"/>
    </row>
    <row r="41" spans="1:29">
      <c r="H41" s="81"/>
      <c r="I41" s="120" t="s">
        <v>12</v>
      </c>
      <c r="J41" s="150" t="s">
        <v>114</v>
      </c>
      <c r="K41" s="232"/>
      <c r="L41" s="233">
        <v>0</v>
      </c>
      <c r="M41" s="165">
        <v>19</v>
      </c>
      <c r="N41" s="166">
        <f>2.85*M41</f>
        <v>54.15</v>
      </c>
      <c r="O41" s="122"/>
      <c r="P41" s="147">
        <f t="shared" si="0"/>
        <v>0</v>
      </c>
      <c r="Q41" s="222"/>
      <c r="R41" s="124">
        <f t="shared" si="1"/>
        <v>54.15</v>
      </c>
      <c r="S41" s="148"/>
      <c r="T41" s="5"/>
      <c r="U41" s="58"/>
      <c r="V41" s="59"/>
      <c r="W41" s="60"/>
      <c r="X41" s="65"/>
    </row>
    <row r="42" spans="1:29">
      <c r="I42" s="13"/>
      <c r="J42" s="14"/>
      <c r="K42" s="234">
        <f t="shared" ref="K42:S42" si="2">SUM(K5:K41)</f>
        <v>0</v>
      </c>
      <c r="L42" s="235">
        <f t="shared" si="2"/>
        <v>0</v>
      </c>
      <c r="M42" s="167">
        <f t="shared" si="2"/>
        <v>138</v>
      </c>
      <c r="N42" s="168">
        <f t="shared" si="2"/>
        <v>156.9</v>
      </c>
      <c r="O42" s="77">
        <f t="shared" si="2"/>
        <v>518</v>
      </c>
      <c r="P42" s="78">
        <f t="shared" si="2"/>
        <v>2766</v>
      </c>
      <c r="Q42" s="223">
        <f t="shared" si="2"/>
        <v>20</v>
      </c>
      <c r="R42" s="78">
        <f t="shared" si="2"/>
        <v>2942.9</v>
      </c>
      <c r="S42" s="102">
        <f t="shared" si="2"/>
        <v>0</v>
      </c>
      <c r="T42" s="5"/>
      <c r="U42" s="58"/>
      <c r="V42" s="59"/>
      <c r="W42" s="60"/>
      <c r="X42" s="65"/>
    </row>
    <row r="43" spans="1:29">
      <c r="J43" s="200">
        <f ca="1">TODAY()</f>
        <v>43825</v>
      </c>
      <c r="K43" s="41"/>
      <c r="M43" s="42"/>
      <c r="N43" s="41"/>
      <c r="O43" s="45" t="s">
        <v>81</v>
      </c>
      <c r="Q43" s="42"/>
      <c r="R43" s="45">
        <f>+R15+R22+R30+R31</f>
        <v>282</v>
      </c>
      <c r="T43" s="5"/>
      <c r="U43" s="58"/>
      <c r="V43" s="59"/>
      <c r="W43" s="60"/>
      <c r="X43" s="61"/>
    </row>
    <row r="44" spans="1:29">
      <c r="L44" s="43"/>
      <c r="M44" s="44"/>
      <c r="N44" s="125"/>
      <c r="O44" s="43" t="s">
        <v>91</v>
      </c>
      <c r="P44" s="114"/>
      <c r="Q44" s="110" t="s">
        <v>58</v>
      </c>
      <c r="R44" s="111">
        <f>+R42-R43</f>
        <v>2660.9</v>
      </c>
      <c r="S44" s="109"/>
      <c r="T44" s="5"/>
      <c r="U44" s="58"/>
      <c r="V44" s="59"/>
      <c r="W44" s="60"/>
      <c r="X44" s="61"/>
    </row>
    <row r="45" spans="1:29">
      <c r="P45" s="19"/>
      <c r="U45" s="58"/>
      <c r="V45" s="59"/>
      <c r="W45" s="60"/>
      <c r="X45" s="65"/>
    </row>
    <row r="46" spans="1:29">
      <c r="I46" s="254" t="s">
        <v>259</v>
      </c>
      <c r="P46" s="19"/>
      <c r="U46" s="58"/>
      <c r="V46" s="59"/>
      <c r="W46" s="62"/>
      <c r="X46" s="60"/>
    </row>
    <row r="47" spans="1:29" ht="3.95" customHeight="1">
      <c r="I47" s="255" t="s">
        <v>260</v>
      </c>
      <c r="P47" s="19"/>
      <c r="U47" s="58"/>
      <c r="V47" s="59"/>
      <c r="W47" s="62"/>
      <c r="X47" s="60"/>
    </row>
    <row r="48" spans="1:29">
      <c r="I48" s="254" t="s">
        <v>261</v>
      </c>
      <c r="P48" s="19"/>
      <c r="U48" s="64"/>
      <c r="V48" s="59"/>
      <c r="W48" s="60"/>
      <c r="X48" s="68"/>
    </row>
    <row r="49" spans="9:24">
      <c r="I49" s="254" t="s">
        <v>262</v>
      </c>
      <c r="P49" s="19"/>
      <c r="U49" s="58"/>
      <c r="V49" s="66"/>
      <c r="W49" s="67"/>
      <c r="X49" s="69"/>
    </row>
    <row r="50" spans="9:24">
      <c r="I50" s="254" t="s">
        <v>263</v>
      </c>
      <c r="P50" s="19"/>
      <c r="U50" s="60"/>
      <c r="V50" s="59"/>
      <c r="W50" s="60"/>
      <c r="X50" s="60"/>
    </row>
    <row r="51" spans="9:24">
      <c r="I51" s="254" t="s">
        <v>264</v>
      </c>
      <c r="U51" s="60"/>
      <c r="V51" s="59"/>
      <c r="W51" s="60"/>
      <c r="X51" s="60"/>
    </row>
    <row r="52" spans="9:24">
      <c r="I52" s="254" t="s">
        <v>265</v>
      </c>
      <c r="P52" s="19"/>
      <c r="U52" s="60"/>
      <c r="V52" s="59"/>
      <c r="W52" s="60"/>
      <c r="X52" s="60"/>
    </row>
    <row r="53" spans="9:24">
      <c r="U53" s="60"/>
      <c r="V53" s="59"/>
      <c r="W53" s="60"/>
      <c r="X53" s="60"/>
    </row>
    <row r="54" spans="9:24" ht="3.95" customHeight="1">
      <c r="U54" s="60"/>
      <c r="V54" s="59"/>
      <c r="W54" s="60"/>
      <c r="X54" s="60"/>
    </row>
    <row r="55" spans="9:24">
      <c r="U55" s="60"/>
      <c r="V55" s="59"/>
      <c r="W55" s="60"/>
      <c r="X55" s="60"/>
    </row>
  </sheetData>
  <mergeCells count="4">
    <mergeCell ref="I2:R2"/>
    <mergeCell ref="K3:N3"/>
    <mergeCell ref="O3:P3"/>
    <mergeCell ref="T3:V3"/>
  </mergeCells>
  <conditionalFormatting sqref="R5">
    <cfRule type="cellIs" dxfId="50" priority="2" operator="lessThanOrEqual">
      <formula>0</formula>
    </cfRule>
  </conditionalFormatting>
  <conditionalFormatting sqref="R5:R41">
    <cfRule type="cellIs" dxfId="49" priority="1" operator="greaterThan">
      <formula>0</formula>
    </cfRule>
  </conditionalFormatting>
  <printOptions horizontalCentered="1"/>
  <pageMargins left="0" right="0" top="0.51181102362204722" bottom="0" header="0" footer="0"/>
  <pageSetup paperSize="9" scale="99" orientation="portrait" r:id="rId1"/>
  <ignoredErrors>
    <ignoredError sqref="L8:N10 L7 L12:N18 L11 L20:N20 L19 N19 L23:N23 L21 N21 L22 N22 L2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>
  <dimension ref="A1:AC56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K5" sqref="K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.5703125" customWidth="1"/>
    <col min="9" max="9" width="7.140625" customWidth="1"/>
    <col min="10" max="10" width="18" customWidth="1"/>
    <col min="11" max="11" width="1.7109375" customWidth="1"/>
    <col min="12" max="12" width="3.7109375" customWidth="1"/>
    <col min="13" max="13" width="5.7109375" customWidth="1"/>
    <col min="14" max="14" width="11.28515625" customWidth="1"/>
    <col min="15" max="15" width="6.140625" customWidth="1"/>
    <col min="16" max="16" width="11.42578125" customWidth="1"/>
    <col min="17" max="17" width="7.7109375" customWidth="1"/>
    <col min="18" max="18" width="13.85546875" customWidth="1"/>
    <col min="19" max="19" width="3.8554687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7" ht="5.0999999999999996" customHeight="1"/>
    <row r="2" spans="8:27">
      <c r="H2" s="83"/>
      <c r="I2" s="439" t="s">
        <v>252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7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7" ht="42.75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198" t="s">
        <v>253</v>
      </c>
      <c r="O4" s="87" t="s">
        <v>15</v>
      </c>
      <c r="P4" s="87" t="s">
        <v>254</v>
      </c>
      <c r="Q4" s="99" t="s">
        <v>255</v>
      </c>
      <c r="R4" s="88" t="s">
        <v>103</v>
      </c>
      <c r="S4" s="139" t="s">
        <v>104</v>
      </c>
      <c r="T4" s="89"/>
      <c r="U4" s="83"/>
      <c r="V4" s="83"/>
    </row>
    <row r="5" spans="8:27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f>+M5*3</f>
        <v>0</v>
      </c>
      <c r="O5" s="76">
        <v>56</v>
      </c>
      <c r="P5" s="75">
        <f t="shared" ref="P5:P27" si="0">IF(O5&gt;25,150,(O5)*6)</f>
        <v>150</v>
      </c>
      <c r="Q5" s="217"/>
      <c r="R5" s="11">
        <f t="shared" ref="R5:R41" si="1">+L5+N5+P5+Q5</f>
        <v>150</v>
      </c>
      <c r="S5" s="106"/>
      <c r="T5" s="5"/>
      <c r="U5" s="258">
        <v>798.8</v>
      </c>
      <c r="V5" s="259">
        <v>103.44</v>
      </c>
      <c r="W5" s="260">
        <v>695.36</v>
      </c>
      <c r="X5" s="265" t="s">
        <v>110</v>
      </c>
      <c r="Y5" s="266"/>
    </row>
    <row r="6" spans="8:27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261">
        <v>720</v>
      </c>
      <c r="V6" s="256">
        <f>+V5*U6/U5</f>
        <v>93.235853780671022</v>
      </c>
      <c r="W6" s="257">
        <f>+U6-V6</f>
        <v>626.76414621932895</v>
      </c>
      <c r="X6" s="36"/>
    </row>
    <row r="7" spans="8:27">
      <c r="H7" s="83"/>
      <c r="I7" s="126" t="s">
        <v>64</v>
      </c>
      <c r="J7" s="80" t="s">
        <v>138</v>
      </c>
      <c r="K7" s="226"/>
      <c r="L7" s="227">
        <f>+K7*3</f>
        <v>0</v>
      </c>
      <c r="M7" s="162"/>
      <c r="N7" s="163">
        <f>3*M7</f>
        <v>0</v>
      </c>
      <c r="O7" s="76"/>
      <c r="P7" s="75">
        <f t="shared" si="0"/>
        <v>0</v>
      </c>
      <c r="Q7" s="217"/>
      <c r="R7" s="11">
        <f t="shared" si="1"/>
        <v>0</v>
      </c>
      <c r="S7" s="106"/>
      <c r="T7" s="5"/>
      <c r="U7" s="32">
        <f>+U5-U6</f>
        <v>78.799999999999955</v>
      </c>
      <c r="V7" s="47"/>
      <c r="W7" s="33"/>
      <c r="X7" s="262" t="s">
        <v>59</v>
      </c>
      <c r="AA7">
        <v>220</v>
      </c>
    </row>
    <row r="8" spans="8:27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>
        <v>52</v>
      </c>
      <c r="P8" s="75">
        <f t="shared" si="0"/>
        <v>150</v>
      </c>
      <c r="Q8" s="217"/>
      <c r="R8" s="11">
        <f t="shared" si="1"/>
        <v>150</v>
      </c>
      <c r="S8" s="138"/>
      <c r="T8" s="5"/>
      <c r="U8" s="34">
        <v>150</v>
      </c>
      <c r="V8" s="38">
        <f>+U8-U7</f>
        <v>71.200000000000045</v>
      </c>
      <c r="W8" s="39" t="s">
        <v>63</v>
      </c>
      <c r="X8" s="263">
        <f>150-V8</f>
        <v>78.799999999999955</v>
      </c>
      <c r="AA8">
        <v>220</v>
      </c>
    </row>
    <row r="9" spans="8:27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>
        <v>1</v>
      </c>
      <c r="P9" s="75">
        <f t="shared" si="0"/>
        <v>6</v>
      </c>
      <c r="Q9" s="218"/>
      <c r="R9" s="11">
        <f t="shared" si="1"/>
        <v>6</v>
      </c>
      <c r="S9" s="107"/>
      <c r="T9" s="5"/>
      <c r="U9" s="10"/>
      <c r="X9" s="37"/>
      <c r="AA9">
        <v>140</v>
      </c>
    </row>
    <row r="10" spans="8:27" ht="15" customHeight="1">
      <c r="H10" s="95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28">
        <v>42</v>
      </c>
      <c r="P10" s="75">
        <f t="shared" si="0"/>
        <v>150</v>
      </c>
      <c r="Q10" s="218"/>
      <c r="R10" s="11">
        <f t="shared" si="1"/>
        <v>150</v>
      </c>
      <c r="S10" s="197"/>
      <c r="T10" s="5"/>
      <c r="U10" s="258">
        <v>728.8</v>
      </c>
      <c r="V10" s="259">
        <v>103.44</v>
      </c>
      <c r="W10" s="260">
        <v>695.36</v>
      </c>
      <c r="X10" s="264" t="s">
        <v>35</v>
      </c>
      <c r="Y10" s="266"/>
      <c r="AA10">
        <v>40</v>
      </c>
    </row>
    <row r="11" spans="8:27">
      <c r="H11" s="141"/>
      <c r="I11" s="126" t="s">
        <v>56</v>
      </c>
      <c r="J11" s="80" t="s">
        <v>136</v>
      </c>
      <c r="K11" s="226"/>
      <c r="L11" s="227">
        <v>0</v>
      </c>
      <c r="M11" s="162"/>
      <c r="N11" s="163">
        <f>3*M11</f>
        <v>0</v>
      </c>
      <c r="O11" s="74"/>
      <c r="P11" s="75">
        <f t="shared" si="0"/>
        <v>0</v>
      </c>
      <c r="Q11" s="217"/>
      <c r="R11" s="9">
        <f t="shared" si="1"/>
        <v>0</v>
      </c>
      <c r="S11" s="107"/>
      <c r="T11" s="5"/>
      <c r="U11" s="261">
        <v>720</v>
      </c>
      <c r="V11" s="256">
        <f>+V10*U11/U10</f>
        <v>102.19099890230517</v>
      </c>
      <c r="W11" s="257">
        <f>+U11-V11</f>
        <v>617.80900109769482</v>
      </c>
      <c r="X11" s="37"/>
      <c r="AA11">
        <v>55</v>
      </c>
    </row>
    <row r="12" spans="8:27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>
        <v>39</v>
      </c>
      <c r="P12" s="75">
        <f t="shared" si="0"/>
        <v>150</v>
      </c>
      <c r="Q12" s="218"/>
      <c r="R12" s="9">
        <f t="shared" si="1"/>
        <v>150</v>
      </c>
      <c r="S12" s="106"/>
      <c r="T12" s="5"/>
      <c r="U12" s="32">
        <f>+U10-U11</f>
        <v>8.7999999999999545</v>
      </c>
      <c r="V12" s="47"/>
      <c r="W12" s="33"/>
      <c r="X12" s="262" t="s">
        <v>59</v>
      </c>
      <c r="AA12">
        <v>80</v>
      </c>
    </row>
    <row r="13" spans="8:27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141.20000000000005</v>
      </c>
      <c r="W13" s="39" t="s">
        <v>63</v>
      </c>
      <c r="X13" s="263">
        <f>150-V13</f>
        <v>8.7999999999999545</v>
      </c>
      <c r="AA13">
        <v>70</v>
      </c>
    </row>
    <row r="14" spans="8:27">
      <c r="H14" s="95"/>
      <c r="I14" s="25" t="s">
        <v>20</v>
      </c>
      <c r="J14" s="81" t="s">
        <v>195</v>
      </c>
      <c r="K14" s="228"/>
      <c r="L14" s="227">
        <f>+K14*3</f>
        <v>0</v>
      </c>
      <c r="M14" s="164"/>
      <c r="N14" s="163">
        <f>+M14*3</f>
        <v>0</v>
      </c>
      <c r="O14" s="28">
        <v>41</v>
      </c>
      <c r="P14" s="75">
        <f t="shared" si="0"/>
        <v>150</v>
      </c>
      <c r="Q14" s="218"/>
      <c r="R14" s="9">
        <f t="shared" si="1"/>
        <v>150</v>
      </c>
      <c r="S14" s="107"/>
      <c r="T14" s="5"/>
      <c r="U14" s="10"/>
      <c r="X14" s="37"/>
      <c r="AA14">
        <f>SUM(AA7:AA13)</f>
        <v>825</v>
      </c>
    </row>
    <row r="15" spans="8:27">
      <c r="H15" s="187"/>
      <c r="I15" s="188" t="s">
        <v>25</v>
      </c>
      <c r="J15" s="242" t="s">
        <v>118</v>
      </c>
      <c r="K15" s="192"/>
      <c r="L15" s="193">
        <f>+K15*3</f>
        <v>0</v>
      </c>
      <c r="M15" s="192"/>
      <c r="N15" s="193">
        <f>+M15*3</f>
        <v>0</v>
      </c>
      <c r="O15" s="192">
        <v>32</v>
      </c>
      <c r="P15" s="193">
        <f t="shared" si="0"/>
        <v>150</v>
      </c>
      <c r="Q15" s="221"/>
      <c r="R15" s="193">
        <f t="shared" si="1"/>
        <v>150</v>
      </c>
      <c r="S15" s="197"/>
      <c r="T15" s="5"/>
      <c r="U15" s="258">
        <v>744</v>
      </c>
      <c r="V15" s="259">
        <v>96.72</v>
      </c>
      <c r="W15" s="260">
        <v>647.28</v>
      </c>
      <c r="X15" s="100"/>
      <c r="Y15" s="266"/>
    </row>
    <row r="16" spans="8:27">
      <c r="H16" s="95"/>
      <c r="I16" s="25" t="s">
        <v>41</v>
      </c>
      <c r="J16" s="81" t="s">
        <v>112</v>
      </c>
      <c r="K16" s="228"/>
      <c r="L16" s="227">
        <f>+K16*3</f>
        <v>0</v>
      </c>
      <c r="M16" s="164"/>
      <c r="N16" s="163">
        <f>+M16*3</f>
        <v>0</v>
      </c>
      <c r="O16" s="28">
        <v>52</v>
      </c>
      <c r="P16" s="75">
        <f t="shared" si="0"/>
        <v>150</v>
      </c>
      <c r="Q16" s="218"/>
      <c r="R16" s="11">
        <f t="shared" si="1"/>
        <v>150</v>
      </c>
      <c r="S16" s="107"/>
      <c r="T16" s="5"/>
      <c r="U16" s="261">
        <v>720</v>
      </c>
      <c r="V16" s="256">
        <f>+V15*U16/U15</f>
        <v>93.6</v>
      </c>
      <c r="W16" s="257">
        <f>+U16-V16</f>
        <v>626.4</v>
      </c>
      <c r="X16" s="37"/>
    </row>
    <row r="17" spans="1:29">
      <c r="A17" s="215"/>
      <c r="H17" s="83"/>
      <c r="I17" s="126" t="s">
        <v>71</v>
      </c>
      <c r="J17" s="80" t="s">
        <v>139</v>
      </c>
      <c r="K17" s="226"/>
      <c r="L17" s="227">
        <f>5*K17</f>
        <v>0</v>
      </c>
      <c r="M17" s="162"/>
      <c r="N17" s="163">
        <f>5*M17</f>
        <v>0</v>
      </c>
      <c r="O17" s="76">
        <v>43</v>
      </c>
      <c r="P17" s="75">
        <f t="shared" si="0"/>
        <v>150</v>
      </c>
      <c r="Q17" s="217"/>
      <c r="R17" s="11">
        <f t="shared" si="1"/>
        <v>150</v>
      </c>
      <c r="S17" s="106"/>
      <c r="T17" s="5"/>
      <c r="U17" s="32">
        <f>+U15-U16</f>
        <v>24</v>
      </c>
      <c r="V17" s="47"/>
      <c r="W17" s="33"/>
      <c r="X17" s="262" t="s">
        <v>59</v>
      </c>
    </row>
    <row r="18" spans="1:29">
      <c r="A18" s="215"/>
      <c r="H18" s="141"/>
      <c r="I18" s="25" t="s">
        <v>28</v>
      </c>
      <c r="J18" s="81" t="s">
        <v>122</v>
      </c>
      <c r="K18" s="228"/>
      <c r="L18" s="227">
        <f>+K18*3</f>
        <v>0</v>
      </c>
      <c r="M18" s="164"/>
      <c r="N18" s="163">
        <f>+M18*3</f>
        <v>0</v>
      </c>
      <c r="O18" s="74">
        <v>2</v>
      </c>
      <c r="P18" s="75">
        <f t="shared" si="0"/>
        <v>12</v>
      </c>
      <c r="Q18" s="217"/>
      <c r="R18" s="9">
        <f t="shared" si="1"/>
        <v>12</v>
      </c>
      <c r="S18" s="107"/>
      <c r="T18" s="5"/>
      <c r="U18" s="34">
        <v>150</v>
      </c>
      <c r="V18" s="38">
        <f>+U18-U17</f>
        <v>126</v>
      </c>
      <c r="W18" s="39" t="s">
        <v>63</v>
      </c>
      <c r="X18" s="263">
        <f>150-V18</f>
        <v>24</v>
      </c>
    </row>
    <row r="19" spans="1:29">
      <c r="A19" s="215"/>
      <c r="H19" s="141"/>
      <c r="I19" s="25" t="s">
        <v>10</v>
      </c>
      <c r="J19" s="81" t="s">
        <v>191</v>
      </c>
      <c r="K19" s="228"/>
      <c r="L19" s="227">
        <f>3*K19</f>
        <v>0</v>
      </c>
      <c r="M19" s="164"/>
      <c r="N19" s="163">
        <v>0</v>
      </c>
      <c r="O19" s="74"/>
      <c r="P19" s="75">
        <f t="shared" si="0"/>
        <v>0</v>
      </c>
      <c r="Q19" s="217"/>
      <c r="R19" s="9">
        <f t="shared" si="1"/>
        <v>0</v>
      </c>
      <c r="S19" s="107"/>
      <c r="T19" s="5"/>
      <c r="U19" s="10"/>
      <c r="X19" s="37"/>
    </row>
    <row r="20" spans="1:29">
      <c r="A20" s="215"/>
      <c r="H20" s="142"/>
      <c r="I20" s="25" t="s">
        <v>4</v>
      </c>
      <c r="J20" s="81" t="s">
        <v>111</v>
      </c>
      <c r="K20" s="228"/>
      <c r="L20" s="227">
        <v>0</v>
      </c>
      <c r="M20" s="164"/>
      <c r="N20" s="163">
        <v>0</v>
      </c>
      <c r="O20" s="28"/>
      <c r="P20" s="75">
        <f t="shared" si="0"/>
        <v>0</v>
      </c>
      <c r="Q20" s="218"/>
      <c r="R20" s="11">
        <f t="shared" si="1"/>
        <v>0</v>
      </c>
      <c r="S20" s="107"/>
      <c r="T20" s="5"/>
      <c r="U20" s="58"/>
      <c r="V20" s="59"/>
      <c r="W20" s="60"/>
      <c r="X20" s="61"/>
    </row>
    <row r="21" spans="1:29">
      <c r="A21" s="215"/>
      <c r="H21" s="142"/>
      <c r="I21" s="25" t="s">
        <v>9</v>
      </c>
      <c r="J21" s="81" t="s">
        <v>128</v>
      </c>
      <c r="K21" s="228"/>
      <c r="L21" s="227">
        <v>0</v>
      </c>
      <c r="M21" s="164"/>
      <c r="N21" s="163">
        <v>0</v>
      </c>
      <c r="O21" s="28"/>
      <c r="P21" s="75">
        <f t="shared" si="0"/>
        <v>0</v>
      </c>
      <c r="Q21" s="218"/>
      <c r="R21" s="57">
        <f t="shared" si="1"/>
        <v>0</v>
      </c>
      <c r="S21" s="107"/>
      <c r="T21" s="5"/>
      <c r="U21" s="103" t="s">
        <v>161</v>
      </c>
    </row>
    <row r="22" spans="1:29">
      <c r="A22" s="215"/>
      <c r="H22" s="251" t="s">
        <v>50</v>
      </c>
      <c r="I22" s="252" t="s">
        <v>236</v>
      </c>
      <c r="J22" s="250" t="s">
        <v>235</v>
      </c>
      <c r="K22" s="229"/>
      <c r="L22" s="230">
        <v>0</v>
      </c>
      <c r="M22" s="160"/>
      <c r="N22" s="161">
        <v>0</v>
      </c>
      <c r="O22" s="23"/>
      <c r="P22" s="24">
        <f t="shared" si="0"/>
        <v>0</v>
      </c>
      <c r="Q22" s="219"/>
      <c r="R22" s="24">
        <f t="shared" si="1"/>
        <v>0</v>
      </c>
      <c r="S22" s="108"/>
      <c r="T22" s="5"/>
      <c r="U22" s="176" t="s">
        <v>158</v>
      </c>
      <c r="V22" s="177" t="s">
        <v>159</v>
      </c>
      <c r="W22" s="178"/>
      <c r="X22" s="174" t="s">
        <v>157</v>
      </c>
    </row>
    <row r="23" spans="1:29">
      <c r="A23" s="237"/>
      <c r="B23" s="237"/>
      <c r="C23" s="237"/>
      <c r="D23" s="238"/>
      <c r="E23" s="237"/>
      <c r="F23" s="239"/>
      <c r="G23" s="237"/>
      <c r="H23" s="142"/>
      <c r="I23" s="25" t="s">
        <v>51</v>
      </c>
      <c r="J23" s="96" t="s">
        <v>134</v>
      </c>
      <c r="K23" s="29"/>
      <c r="L23" s="27">
        <f>+K23*3</f>
        <v>0</v>
      </c>
      <c r="M23" s="164"/>
      <c r="N23" s="163">
        <f>+M23*3</f>
        <v>0</v>
      </c>
      <c r="O23" s="28"/>
      <c r="P23" s="11">
        <f t="shared" si="0"/>
        <v>0</v>
      </c>
      <c r="Q23" s="218"/>
      <c r="R23" s="240">
        <f t="shared" si="1"/>
        <v>0</v>
      </c>
      <c r="S23" s="241"/>
      <c r="T23" s="5"/>
      <c r="U23" s="176" t="s">
        <v>158</v>
      </c>
      <c r="V23" s="177" t="s">
        <v>159</v>
      </c>
      <c r="W23" s="178"/>
      <c r="X23" s="174" t="s">
        <v>157</v>
      </c>
    </row>
    <row r="24" spans="1:29">
      <c r="A24" s="215"/>
      <c r="H24" s="83"/>
      <c r="I24" s="126" t="s">
        <v>61</v>
      </c>
      <c r="J24" s="80" t="s">
        <v>137</v>
      </c>
      <c r="K24" s="226"/>
      <c r="L24" s="227">
        <f>3*K24</f>
        <v>0</v>
      </c>
      <c r="M24" s="162"/>
      <c r="N24" s="163">
        <f>3*M24</f>
        <v>0</v>
      </c>
      <c r="O24" s="72"/>
      <c r="P24" s="75">
        <f t="shared" si="0"/>
        <v>0</v>
      </c>
      <c r="Q24" s="217"/>
      <c r="R24" s="11">
        <f t="shared" si="1"/>
        <v>0</v>
      </c>
      <c r="S24" s="106"/>
      <c r="T24" s="5"/>
      <c r="U24" s="179">
        <v>43480</v>
      </c>
      <c r="V24" s="170">
        <v>1</v>
      </c>
      <c r="W24" s="180"/>
      <c r="X24" s="33" t="s">
        <v>156</v>
      </c>
    </row>
    <row r="25" spans="1:29">
      <c r="A25" s="215"/>
      <c r="H25" s="83"/>
      <c r="I25" s="25" t="s">
        <v>14</v>
      </c>
      <c r="J25" s="96" t="s">
        <v>125</v>
      </c>
      <c r="K25" s="228"/>
      <c r="L25" s="227">
        <f>+K25*3</f>
        <v>0</v>
      </c>
      <c r="M25" s="164"/>
      <c r="N25" s="163">
        <v>0</v>
      </c>
      <c r="O25" s="74">
        <v>47</v>
      </c>
      <c r="P25" s="75">
        <f t="shared" si="0"/>
        <v>150</v>
      </c>
      <c r="Q25" s="218"/>
      <c r="R25" s="11">
        <f t="shared" si="1"/>
        <v>150</v>
      </c>
      <c r="S25" s="107"/>
      <c r="T25" s="5"/>
      <c r="U25" s="179">
        <f>1+U24</f>
        <v>43481</v>
      </c>
      <c r="V25" s="170">
        <v>1</v>
      </c>
      <c r="W25" s="181"/>
      <c r="X25" s="33" t="s">
        <v>151</v>
      </c>
    </row>
    <row r="26" spans="1:29">
      <c r="A26" s="215"/>
      <c r="H26" s="83"/>
      <c r="I26" s="126" t="s">
        <v>79</v>
      </c>
      <c r="J26" s="82" t="s">
        <v>110</v>
      </c>
      <c r="K26" s="228"/>
      <c r="L26" s="227">
        <v>0</v>
      </c>
      <c r="M26" s="164"/>
      <c r="N26" s="163">
        <f>3*M26</f>
        <v>0</v>
      </c>
      <c r="O26" s="76">
        <v>44</v>
      </c>
      <c r="P26" s="75">
        <f t="shared" si="0"/>
        <v>150</v>
      </c>
      <c r="Q26" s="217"/>
      <c r="R26" s="11">
        <f t="shared" si="1"/>
        <v>150</v>
      </c>
      <c r="S26" s="106"/>
      <c r="T26" s="5"/>
      <c r="U26" s="179">
        <f>1+U25</f>
        <v>43482</v>
      </c>
      <c r="V26" s="170">
        <v>1</v>
      </c>
      <c r="W26" s="182"/>
      <c r="X26" s="33" t="s">
        <v>152</v>
      </c>
    </row>
    <row r="27" spans="1:29">
      <c r="H27" s="83"/>
      <c r="I27" s="269" t="s">
        <v>214</v>
      </c>
      <c r="J27" s="270" t="s">
        <v>215</v>
      </c>
      <c r="K27" s="271"/>
      <c r="L27" s="272">
        <v>0</v>
      </c>
      <c r="M27" s="271"/>
      <c r="N27" s="272">
        <f>3*M27</f>
        <v>0</v>
      </c>
      <c r="O27" s="271"/>
      <c r="P27" s="272">
        <f t="shared" si="0"/>
        <v>0</v>
      </c>
      <c r="Q27" s="273">
        <v>40</v>
      </c>
      <c r="R27" s="272">
        <f t="shared" si="1"/>
        <v>40</v>
      </c>
      <c r="S27" s="274"/>
      <c r="T27" s="5"/>
      <c r="U27" s="179">
        <f>1+U26</f>
        <v>43483</v>
      </c>
      <c r="V27" s="170">
        <v>1</v>
      </c>
      <c r="W27" s="181"/>
      <c r="X27" s="33" t="s">
        <v>153</v>
      </c>
    </row>
    <row r="28" spans="1:29">
      <c r="A28" s="237"/>
      <c r="B28" s="237"/>
      <c r="C28" s="237"/>
      <c r="D28" s="238"/>
      <c r="E28" s="237"/>
      <c r="F28" s="239"/>
      <c r="G28" s="237"/>
      <c r="H28" s="142"/>
      <c r="I28" s="25" t="s">
        <v>45</v>
      </c>
      <c r="J28" s="96" t="s">
        <v>133</v>
      </c>
      <c r="K28" s="29"/>
      <c r="L28" s="27">
        <f>+K28*3</f>
        <v>0</v>
      </c>
      <c r="M28" s="164"/>
      <c r="N28" s="163">
        <f>+M28*3</f>
        <v>0</v>
      </c>
      <c r="O28" s="28">
        <v>40</v>
      </c>
      <c r="P28" s="11">
        <f t="shared" ref="P28:P41" si="2">IF(O28&gt;25,150,(O28)*6)</f>
        <v>150</v>
      </c>
      <c r="Q28" s="218"/>
      <c r="R28" s="240">
        <f t="shared" si="1"/>
        <v>150</v>
      </c>
      <c r="S28" s="241"/>
      <c r="T28" s="5"/>
      <c r="U28" s="179">
        <f>1+U27</f>
        <v>43484</v>
      </c>
      <c r="V28" s="170">
        <v>0.5</v>
      </c>
      <c r="W28" s="183"/>
      <c r="X28" s="33" t="s">
        <v>154</v>
      </c>
    </row>
    <row r="29" spans="1:29">
      <c r="A29" s="215"/>
      <c r="H29" s="142"/>
      <c r="I29" s="25" t="s">
        <v>13</v>
      </c>
      <c r="J29" s="81" t="s">
        <v>121</v>
      </c>
      <c r="K29" s="228"/>
      <c r="L29" s="227">
        <f>3*K29</f>
        <v>0</v>
      </c>
      <c r="M29" s="164"/>
      <c r="N29" s="163">
        <v>0</v>
      </c>
      <c r="O29" s="28">
        <v>37</v>
      </c>
      <c r="P29" s="75">
        <f t="shared" si="2"/>
        <v>150</v>
      </c>
      <c r="Q29" s="218"/>
      <c r="R29" s="57">
        <f t="shared" si="1"/>
        <v>150</v>
      </c>
      <c r="S29" s="107"/>
      <c r="T29" s="5"/>
      <c r="U29" s="184"/>
      <c r="V29" s="170">
        <f>SUM(V24:V28)</f>
        <v>4.5</v>
      </c>
      <c r="W29" s="183" t="s">
        <v>148</v>
      </c>
      <c r="X29" s="175" t="s">
        <v>155</v>
      </c>
    </row>
    <row r="30" spans="1:29">
      <c r="A30" s="215"/>
      <c r="H30" s="187"/>
      <c r="I30" s="188" t="s">
        <v>31</v>
      </c>
      <c r="J30" s="242" t="s">
        <v>127</v>
      </c>
      <c r="K30" s="192"/>
      <c r="L30" s="193">
        <v>0</v>
      </c>
      <c r="M30" s="192"/>
      <c r="N30" s="193">
        <v>0</v>
      </c>
      <c r="O30" s="192">
        <v>42</v>
      </c>
      <c r="P30" s="193">
        <f t="shared" si="2"/>
        <v>150</v>
      </c>
      <c r="Q30" s="221"/>
      <c r="R30" s="193">
        <f t="shared" si="1"/>
        <v>150</v>
      </c>
      <c r="S30" s="197"/>
      <c r="T30" s="5"/>
      <c r="U30" s="184"/>
      <c r="V30" s="171">
        <v>18</v>
      </c>
      <c r="W30" s="185" t="s">
        <v>149</v>
      </c>
      <c r="X30" s="61"/>
    </row>
    <row r="31" spans="1:29" ht="16.5">
      <c r="A31" s="215"/>
      <c r="H31" s="187"/>
      <c r="I31" s="188" t="s">
        <v>30</v>
      </c>
      <c r="J31" s="242" t="s">
        <v>126</v>
      </c>
      <c r="K31" s="192"/>
      <c r="L31" s="193">
        <f>+K31*3</f>
        <v>0</v>
      </c>
      <c r="M31" s="192"/>
      <c r="N31" s="193">
        <f>+M31*3</f>
        <v>0</v>
      </c>
      <c r="O31" s="192">
        <v>43</v>
      </c>
      <c r="P31" s="193">
        <f t="shared" si="2"/>
        <v>150</v>
      </c>
      <c r="Q31" s="221"/>
      <c r="R31" s="193">
        <f t="shared" si="1"/>
        <v>150</v>
      </c>
      <c r="S31" s="197"/>
      <c r="T31" s="5"/>
      <c r="U31" s="186" t="s">
        <v>160</v>
      </c>
      <c r="V31" s="172">
        <f>+V30/V29</f>
        <v>4</v>
      </c>
      <c r="W31" s="173" t="s">
        <v>150</v>
      </c>
      <c r="X31" s="61"/>
    </row>
    <row r="32" spans="1:29">
      <c r="A32" s="215"/>
      <c r="H32" s="83"/>
      <c r="I32" s="269" t="s">
        <v>186</v>
      </c>
      <c r="J32" s="270" t="s">
        <v>187</v>
      </c>
      <c r="K32" s="271"/>
      <c r="L32" s="272">
        <v>0</v>
      </c>
      <c r="M32" s="271"/>
      <c r="N32" s="272">
        <v>0</v>
      </c>
      <c r="O32" s="271">
        <v>39</v>
      </c>
      <c r="P32" s="272">
        <f t="shared" si="2"/>
        <v>150</v>
      </c>
      <c r="Q32" s="273"/>
      <c r="R32" s="272">
        <f t="shared" si="1"/>
        <v>150</v>
      </c>
      <c r="S32" s="274"/>
      <c r="T32" s="5"/>
      <c r="U32" s="58"/>
      <c r="V32" s="59"/>
      <c r="W32" s="60"/>
      <c r="X32" s="65"/>
      <c r="AC32">
        <v>4</v>
      </c>
    </row>
    <row r="33" spans="1:29">
      <c r="A33" s="215"/>
      <c r="H33" s="83"/>
      <c r="I33" s="25" t="s">
        <v>17</v>
      </c>
      <c r="J33" s="81" t="s">
        <v>123</v>
      </c>
      <c r="K33" s="228"/>
      <c r="L33" s="227">
        <f>+K33*3</f>
        <v>0</v>
      </c>
      <c r="M33" s="164"/>
      <c r="N33" s="163">
        <f>+M33*3</f>
        <v>0</v>
      </c>
      <c r="O33" s="74">
        <v>29</v>
      </c>
      <c r="P33" s="75">
        <f t="shared" si="2"/>
        <v>150</v>
      </c>
      <c r="Q33" s="218"/>
      <c r="R33" s="11">
        <f t="shared" si="1"/>
        <v>150</v>
      </c>
      <c r="S33" s="107"/>
      <c r="T33" s="5"/>
      <c r="U33" s="58"/>
      <c r="V33" s="66"/>
      <c r="W33" s="67"/>
      <c r="X33" s="66"/>
      <c r="Z33">
        <v>186.44069999999999</v>
      </c>
      <c r="AA33">
        <f>+Z33*0.18</f>
        <v>33.559325999999999</v>
      </c>
      <c r="AB33">
        <f>+Z33+AA33</f>
        <v>220.00002599999999</v>
      </c>
      <c r="AC33">
        <f>+AB33*AC32</f>
        <v>880.00010399999996</v>
      </c>
    </row>
    <row r="34" spans="1:29" s="4" customFormat="1">
      <c r="A34" s="215"/>
      <c r="B34"/>
      <c r="C34"/>
      <c r="D34" s="1"/>
      <c r="E34"/>
      <c r="F34" s="2"/>
      <c r="G34"/>
      <c r="H34" s="83"/>
      <c r="I34" s="25" t="s">
        <v>60</v>
      </c>
      <c r="J34" s="81" t="s">
        <v>132</v>
      </c>
      <c r="K34" s="228"/>
      <c r="L34" s="227">
        <v>0</v>
      </c>
      <c r="M34" s="164"/>
      <c r="N34" s="163">
        <v>0</v>
      </c>
      <c r="O34" s="74"/>
      <c r="P34" s="75">
        <f>IF(O34&gt;25,150,(O34)*6)</f>
        <v>0</v>
      </c>
      <c r="Q34" s="218"/>
      <c r="R34" s="11">
        <f>+L34+N34+P34+Q34</f>
        <v>0</v>
      </c>
      <c r="S34" s="107"/>
      <c r="T34" s="5"/>
      <c r="U34" s="64"/>
      <c r="V34" s="59"/>
      <c r="W34" s="60"/>
      <c r="X34" s="68"/>
      <c r="Z34" s="4">
        <v>206.44069999999999</v>
      </c>
      <c r="AA34">
        <f>+Z34*0.18</f>
        <v>37.159326</v>
      </c>
      <c r="AB34">
        <f>+Z34+AA34</f>
        <v>243.60002599999999</v>
      </c>
      <c r="AC34" s="4">
        <f>+AB34*AC32</f>
        <v>974.40010399999994</v>
      </c>
    </row>
    <row r="35" spans="1:29">
      <c r="H35" s="142"/>
      <c r="I35" s="25" t="s">
        <v>233</v>
      </c>
      <c r="J35" s="81" t="s">
        <v>234</v>
      </c>
      <c r="K35" s="228"/>
      <c r="L35" s="227">
        <v>0</v>
      </c>
      <c r="M35" s="164"/>
      <c r="N35" s="163">
        <v>0</v>
      </c>
      <c r="O35" s="28"/>
      <c r="P35" s="75">
        <f t="shared" si="2"/>
        <v>0</v>
      </c>
      <c r="Q35" s="218"/>
      <c r="R35" s="57">
        <f t="shared" si="1"/>
        <v>0</v>
      </c>
      <c r="S35" s="107"/>
      <c r="T35" s="5"/>
      <c r="U35" s="58"/>
      <c r="V35" s="59"/>
      <c r="W35" s="60"/>
      <c r="X35" s="69"/>
      <c r="Z35">
        <f>+Z34-Z33</f>
        <v>20</v>
      </c>
      <c r="AA35">
        <f>+AA34-AA33</f>
        <v>3.6000000000000014</v>
      </c>
      <c r="AB35">
        <f>+AB34-AB33</f>
        <v>23.599999999999994</v>
      </c>
      <c r="AC35">
        <f>+AB35*AC32</f>
        <v>94.399999999999977</v>
      </c>
    </row>
    <row r="36" spans="1:29">
      <c r="A36" s="215"/>
      <c r="H36" s="142"/>
      <c r="I36" s="25" t="s">
        <v>8</v>
      </c>
      <c r="J36" s="81" t="s">
        <v>120</v>
      </c>
      <c r="K36" s="228"/>
      <c r="L36" s="227">
        <v>0</v>
      </c>
      <c r="M36" s="164"/>
      <c r="N36" s="163">
        <v>0</v>
      </c>
      <c r="O36" s="28">
        <v>46</v>
      </c>
      <c r="P36" s="75">
        <f t="shared" si="2"/>
        <v>150</v>
      </c>
      <c r="Q36" s="218"/>
      <c r="R36" s="57">
        <f t="shared" si="1"/>
        <v>150</v>
      </c>
      <c r="S36" s="107"/>
      <c r="T36" s="5"/>
      <c r="U36" s="58"/>
      <c r="V36" s="59"/>
      <c r="W36" s="60"/>
      <c r="X36" s="65"/>
    </row>
    <row r="37" spans="1:29">
      <c r="A37" s="215"/>
      <c r="H37" s="83"/>
      <c r="I37" s="25" t="s">
        <v>11</v>
      </c>
      <c r="J37" s="96" t="s">
        <v>130</v>
      </c>
      <c r="K37" s="228"/>
      <c r="L37" s="227">
        <f>+K37*3</f>
        <v>0</v>
      </c>
      <c r="M37" s="164"/>
      <c r="N37" s="163">
        <f>+M37*3</f>
        <v>0</v>
      </c>
      <c r="O37" s="74">
        <v>37</v>
      </c>
      <c r="P37" s="75">
        <f t="shared" si="2"/>
        <v>150</v>
      </c>
      <c r="Q37" s="220"/>
      <c r="R37" s="11">
        <f t="shared" si="1"/>
        <v>150</v>
      </c>
      <c r="S37" s="107"/>
      <c r="T37" s="5"/>
      <c r="U37" s="58"/>
      <c r="V37" s="59"/>
      <c r="W37" s="60"/>
    </row>
    <row r="38" spans="1:29">
      <c r="H38" s="83"/>
      <c r="I38" s="25" t="s">
        <v>44</v>
      </c>
      <c r="J38" s="96" t="s">
        <v>124</v>
      </c>
      <c r="K38" s="228"/>
      <c r="L38" s="227">
        <f>+K38*3</f>
        <v>0</v>
      </c>
      <c r="M38" s="164"/>
      <c r="N38" s="163">
        <f>+M38*3</f>
        <v>0</v>
      </c>
      <c r="O38" s="113"/>
      <c r="P38" s="75">
        <f t="shared" si="2"/>
        <v>0</v>
      </c>
      <c r="Q38" s="218"/>
      <c r="R38" s="11">
        <f t="shared" si="1"/>
        <v>0</v>
      </c>
      <c r="S38" s="107"/>
      <c r="T38" s="5"/>
      <c r="U38" s="58"/>
      <c r="V38" s="59"/>
      <c r="W38" s="60"/>
      <c r="X38" s="61"/>
    </row>
    <row r="39" spans="1:29">
      <c r="H39" s="83"/>
      <c r="I39" s="25" t="s">
        <v>6</v>
      </c>
      <c r="J39" s="96" t="s">
        <v>116</v>
      </c>
      <c r="K39" s="228"/>
      <c r="L39" s="227">
        <f>+K39*3</f>
        <v>0</v>
      </c>
      <c r="M39" s="164"/>
      <c r="N39" s="163">
        <f>+M39*3</f>
        <v>0</v>
      </c>
      <c r="O39" s="74">
        <v>35</v>
      </c>
      <c r="P39" s="75">
        <f t="shared" si="2"/>
        <v>150</v>
      </c>
      <c r="Q39" s="220"/>
      <c r="R39" s="11">
        <f t="shared" si="1"/>
        <v>150</v>
      </c>
      <c r="S39" s="107"/>
      <c r="T39" s="5"/>
      <c r="U39" s="58"/>
      <c r="V39" s="59"/>
      <c r="W39" s="62"/>
      <c r="X39" s="63"/>
    </row>
    <row r="40" spans="1:29">
      <c r="H40" s="95"/>
      <c r="I40" s="25" t="s">
        <v>53</v>
      </c>
      <c r="J40" s="81" t="s">
        <v>135</v>
      </c>
      <c r="K40" s="228"/>
      <c r="L40" s="227">
        <v>0</v>
      </c>
      <c r="M40" s="164"/>
      <c r="N40" s="163">
        <v>0</v>
      </c>
      <c r="O40" s="28">
        <v>42</v>
      </c>
      <c r="P40" s="75">
        <f t="shared" si="2"/>
        <v>150</v>
      </c>
      <c r="Q40" s="218"/>
      <c r="R40" s="11">
        <f t="shared" si="1"/>
        <v>150</v>
      </c>
      <c r="S40" s="107"/>
      <c r="T40" s="5"/>
      <c r="U40" s="58"/>
      <c r="V40" s="59"/>
      <c r="W40" s="67"/>
      <c r="X40" s="66"/>
    </row>
    <row r="41" spans="1:29">
      <c r="H41" s="81"/>
      <c r="I41" s="120" t="s">
        <v>12</v>
      </c>
      <c r="J41" s="150" t="s">
        <v>114</v>
      </c>
      <c r="K41" s="232"/>
      <c r="L41" s="233">
        <v>0</v>
      </c>
      <c r="M41" s="165"/>
      <c r="N41" s="166">
        <v>0</v>
      </c>
      <c r="O41" s="122"/>
      <c r="P41" s="147">
        <f t="shared" si="2"/>
        <v>0</v>
      </c>
      <c r="Q41" s="222"/>
      <c r="R41" s="124">
        <f t="shared" si="1"/>
        <v>0</v>
      </c>
      <c r="S41" s="148"/>
      <c r="T41" s="5"/>
      <c r="U41" s="58"/>
      <c r="V41" s="59"/>
      <c r="W41" s="60"/>
      <c r="X41" s="65"/>
    </row>
    <row r="42" spans="1:29">
      <c r="I42" s="13"/>
      <c r="J42" s="14"/>
      <c r="K42" s="234">
        <f t="shared" ref="K42:S42" si="3">SUM(K5:K41)</f>
        <v>0</v>
      </c>
      <c r="L42" s="235">
        <f t="shared" si="3"/>
        <v>0</v>
      </c>
      <c r="M42" s="167">
        <f t="shared" si="3"/>
        <v>0</v>
      </c>
      <c r="N42" s="168">
        <f t="shared" si="3"/>
        <v>0</v>
      </c>
      <c r="O42" s="77">
        <f t="shared" si="3"/>
        <v>841</v>
      </c>
      <c r="P42" s="78">
        <f t="shared" si="3"/>
        <v>3018</v>
      </c>
      <c r="Q42" s="223">
        <f t="shared" si="3"/>
        <v>40</v>
      </c>
      <c r="R42" s="78">
        <f t="shared" si="3"/>
        <v>3058</v>
      </c>
      <c r="S42" s="102">
        <f t="shared" si="3"/>
        <v>0</v>
      </c>
      <c r="T42" s="5"/>
      <c r="U42" s="58"/>
      <c r="V42" s="59"/>
      <c r="W42" s="60"/>
      <c r="X42" s="65"/>
    </row>
    <row r="43" spans="1:29">
      <c r="J43" s="200">
        <f ca="1">TODAY()</f>
        <v>43825</v>
      </c>
      <c r="K43" s="41"/>
      <c r="M43" s="42"/>
      <c r="N43" s="41"/>
      <c r="O43" s="45" t="s">
        <v>81</v>
      </c>
      <c r="Q43" s="42"/>
      <c r="R43" s="45">
        <f>+R22</f>
        <v>0</v>
      </c>
      <c r="T43" s="5"/>
      <c r="U43" s="58"/>
      <c r="V43" s="59"/>
      <c r="W43" s="60"/>
      <c r="X43" s="61"/>
    </row>
    <row r="44" spans="1:29">
      <c r="L44" s="43"/>
      <c r="M44" s="44"/>
      <c r="N44" s="125"/>
      <c r="O44" s="43" t="s">
        <v>91</v>
      </c>
      <c r="P44" s="114"/>
      <c r="Q44" s="110" t="s">
        <v>58</v>
      </c>
      <c r="R44" s="111">
        <f>+R42-R43</f>
        <v>3058</v>
      </c>
      <c r="S44" s="109"/>
      <c r="T44" s="5"/>
      <c r="U44" s="58"/>
      <c r="V44" s="59"/>
      <c r="W44" s="60"/>
      <c r="X44" s="61"/>
    </row>
    <row r="45" spans="1:29">
      <c r="P45" s="19"/>
      <c r="U45" s="58"/>
      <c r="V45" s="59"/>
      <c r="W45" s="60"/>
      <c r="X45" s="65"/>
    </row>
    <row r="46" spans="1:29">
      <c r="I46" s="254" t="s">
        <v>237</v>
      </c>
      <c r="P46" s="19"/>
      <c r="U46" s="58"/>
      <c r="V46" s="59"/>
      <c r="W46" s="62"/>
      <c r="X46" s="60"/>
    </row>
    <row r="47" spans="1:29" ht="3.95" customHeight="1">
      <c r="I47" s="255" t="s">
        <v>244</v>
      </c>
      <c r="P47" s="19"/>
      <c r="U47" s="58"/>
      <c r="V47" s="59"/>
      <c r="W47" s="62"/>
      <c r="X47" s="60"/>
    </row>
    <row r="48" spans="1:29">
      <c r="I48" s="254" t="s">
        <v>238</v>
      </c>
      <c r="P48" s="19"/>
      <c r="U48" s="64"/>
      <c r="V48" s="59"/>
      <c r="W48" s="60"/>
      <c r="X48" s="68"/>
    </row>
    <row r="49" spans="9:24">
      <c r="I49" s="254" t="s">
        <v>239</v>
      </c>
      <c r="P49" s="19"/>
      <c r="U49" s="58"/>
      <c r="V49" s="66"/>
      <c r="W49" s="67"/>
      <c r="X49" s="69"/>
    </row>
    <row r="50" spans="9:24">
      <c r="I50" s="254" t="s">
        <v>240</v>
      </c>
      <c r="P50" s="19"/>
      <c r="U50" s="60"/>
      <c r="V50" s="59"/>
      <c r="W50" s="60"/>
      <c r="X50" s="60"/>
    </row>
    <row r="51" spans="9:24">
      <c r="I51" s="254" t="s">
        <v>241</v>
      </c>
      <c r="U51" s="60"/>
      <c r="V51" s="59"/>
      <c r="W51" s="60"/>
      <c r="X51" s="60"/>
    </row>
    <row r="52" spans="9:24">
      <c r="I52" s="254" t="s">
        <v>242</v>
      </c>
      <c r="P52" s="19"/>
      <c r="U52" s="60"/>
      <c r="V52" s="59"/>
      <c r="W52" s="60"/>
      <c r="X52" s="60"/>
    </row>
    <row r="53" spans="9:24">
      <c r="I53" s="254" t="s">
        <v>243</v>
      </c>
      <c r="P53" s="19"/>
      <c r="U53" s="60"/>
      <c r="V53" s="59"/>
      <c r="W53" s="60"/>
      <c r="X53" s="60"/>
    </row>
    <row r="54" spans="9:24">
      <c r="U54" s="60"/>
      <c r="V54" s="59"/>
      <c r="W54" s="60"/>
      <c r="X54" s="60"/>
    </row>
    <row r="55" spans="9:24" ht="3.95" customHeight="1">
      <c r="U55" s="60"/>
      <c r="V55" s="59"/>
      <c r="W55" s="60"/>
      <c r="X55" s="60"/>
    </row>
    <row r="56" spans="9:24">
      <c r="U56" s="60"/>
      <c r="V56" s="59"/>
      <c r="W56" s="60"/>
      <c r="X56" s="60"/>
    </row>
  </sheetData>
  <mergeCells count="4">
    <mergeCell ref="I2:R2"/>
    <mergeCell ref="K3:N3"/>
    <mergeCell ref="O3:P3"/>
    <mergeCell ref="T3:V3"/>
  </mergeCells>
  <conditionalFormatting sqref="R5">
    <cfRule type="cellIs" dxfId="48" priority="2" operator="lessThanOrEqual">
      <formula>0</formula>
    </cfRule>
  </conditionalFormatting>
  <conditionalFormatting sqref="R5:R41">
    <cfRule type="cellIs" dxfId="47" priority="1" operator="greaterThan">
      <formula>0</formula>
    </cfRule>
  </conditionalFormatting>
  <printOptions horizontalCentered="1"/>
  <pageMargins left="0" right="0" top="0.82677165354330717" bottom="0" header="0" footer="0"/>
  <pageSetup paperSize="9" scale="110" orientation="portrait" r:id="rId1"/>
  <ignoredErrors>
    <ignoredError sqref="N7:N18" formula="1"/>
  </ignoredErrors>
</worksheet>
</file>

<file path=xl/worksheets/sheet35.xml><?xml version="1.0" encoding="utf-8"?>
<worksheet xmlns="http://schemas.openxmlformats.org/spreadsheetml/2006/main" xmlns:r="http://schemas.openxmlformats.org/officeDocument/2006/relationships">
  <dimension ref="A1:AC56"/>
  <sheetViews>
    <sheetView zoomScale="115" zoomScaleNormal="115" workbookViewId="0">
      <pane xSplit="10" ySplit="4" topLeftCell="K32" activePane="bottomRight" state="frozen"/>
      <selection pane="topRight" activeCell="K1" sqref="K1"/>
      <selection pane="bottomLeft" activeCell="A5" sqref="A5"/>
      <selection pane="bottomRight" activeCell="K32" sqref="K32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2.28515625" customWidth="1"/>
    <col min="9" max="9" width="7.140625" customWidth="1"/>
    <col min="10" max="10" width="18" customWidth="1"/>
    <col min="11" max="11" width="1.7109375" customWidth="1"/>
    <col min="12" max="12" width="3.7109375" customWidth="1"/>
    <col min="13" max="13" width="5.7109375" customWidth="1"/>
    <col min="14" max="14" width="11.28515625" customWidth="1"/>
    <col min="15" max="15" width="6.140625" customWidth="1"/>
    <col min="16" max="16" width="11.42578125" customWidth="1"/>
    <col min="17" max="17" width="7.7109375" customWidth="1"/>
    <col min="18" max="18" width="13.85546875" customWidth="1"/>
    <col min="19" max="19" width="3.8554687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5" ht="5.0999999999999996" customHeight="1"/>
    <row r="2" spans="8:25">
      <c r="H2" s="83"/>
      <c r="I2" s="439" t="s">
        <v>245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5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5" ht="42.75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198" t="s">
        <v>15</v>
      </c>
      <c r="N4" s="198" t="s">
        <v>251</v>
      </c>
      <c r="O4" s="87" t="s">
        <v>15</v>
      </c>
      <c r="P4" s="87" t="s">
        <v>246</v>
      </c>
      <c r="Q4" s="99" t="s">
        <v>247</v>
      </c>
      <c r="R4" s="88" t="s">
        <v>103</v>
      </c>
      <c r="S4" s="139" t="s">
        <v>104</v>
      </c>
      <c r="T4" s="89"/>
      <c r="U4" s="83"/>
      <c r="V4" s="83"/>
    </row>
    <row r="5" spans="8:25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f>+M5*3</f>
        <v>0</v>
      </c>
      <c r="O5" s="76">
        <v>24</v>
      </c>
      <c r="P5" s="75">
        <f t="shared" ref="P5:P27" si="0">IF(O5&gt;25,150,(O5)*6)</f>
        <v>144</v>
      </c>
      <c r="Q5" s="217"/>
      <c r="R5" s="11">
        <f t="shared" ref="R5:R42" si="1">+L5+N5+P5+Q5</f>
        <v>144</v>
      </c>
      <c r="S5" s="106"/>
      <c r="T5" s="5"/>
      <c r="U5" s="258">
        <v>798.8</v>
      </c>
      <c r="V5" s="259">
        <v>103.44</v>
      </c>
      <c r="W5" s="260">
        <v>695.36</v>
      </c>
      <c r="X5" s="265" t="s">
        <v>110</v>
      </c>
      <c r="Y5" s="266"/>
    </row>
    <row r="6" spans="8:25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261">
        <v>720</v>
      </c>
      <c r="V6" s="256">
        <f>+V5*U6/U5</f>
        <v>93.235853780671022</v>
      </c>
      <c r="W6" s="257">
        <f>+U6-V6</f>
        <v>626.76414621932895</v>
      </c>
      <c r="X6" s="36"/>
    </row>
    <row r="7" spans="8:25">
      <c r="H7" s="83"/>
      <c r="I7" s="126" t="s">
        <v>64</v>
      </c>
      <c r="J7" s="80" t="s">
        <v>138</v>
      </c>
      <c r="K7" s="226"/>
      <c r="L7" s="227">
        <f>+K7*3</f>
        <v>0</v>
      </c>
      <c r="M7" s="162">
        <v>15</v>
      </c>
      <c r="N7" s="163">
        <f>3*M7</f>
        <v>45</v>
      </c>
      <c r="O7" s="76"/>
      <c r="P7" s="75">
        <f t="shared" si="0"/>
        <v>0</v>
      </c>
      <c r="Q7" s="217"/>
      <c r="R7" s="11">
        <f t="shared" si="1"/>
        <v>45</v>
      </c>
      <c r="S7" s="106"/>
      <c r="T7" s="5"/>
      <c r="U7" s="32">
        <f>+U5-U6</f>
        <v>78.799999999999955</v>
      </c>
      <c r="V7" s="47"/>
      <c r="W7" s="33"/>
      <c r="X7" s="262" t="s">
        <v>59</v>
      </c>
    </row>
    <row r="8" spans="8:25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>
        <v>36</v>
      </c>
      <c r="P8" s="75">
        <f t="shared" si="0"/>
        <v>150</v>
      </c>
      <c r="Q8" s="217"/>
      <c r="R8" s="11">
        <f t="shared" si="1"/>
        <v>150</v>
      </c>
      <c r="S8" s="138"/>
      <c r="T8" s="5"/>
      <c r="U8" s="34">
        <v>150</v>
      </c>
      <c r="V8" s="38">
        <f>+U8-U7</f>
        <v>71.200000000000045</v>
      </c>
      <c r="W8" s="39" t="s">
        <v>63</v>
      </c>
      <c r="X8" s="263">
        <f>150-V8</f>
        <v>78.799999999999955</v>
      </c>
    </row>
    <row r="9" spans="8:25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>
        <v>21</v>
      </c>
      <c r="P9" s="75">
        <f t="shared" si="0"/>
        <v>126</v>
      </c>
      <c r="Q9" s="218"/>
      <c r="R9" s="11">
        <f t="shared" si="1"/>
        <v>126</v>
      </c>
      <c r="S9" s="107"/>
      <c r="T9" s="5"/>
      <c r="U9" s="10"/>
      <c r="X9" s="37"/>
    </row>
    <row r="10" spans="8:25" ht="15" customHeight="1">
      <c r="H10" s="253" t="s">
        <v>250</v>
      </c>
      <c r="I10" s="188" t="s">
        <v>1</v>
      </c>
      <c r="J10" s="242" t="s">
        <v>106</v>
      </c>
      <c r="K10" s="192"/>
      <c r="L10" s="193">
        <f>3*K10</f>
        <v>0</v>
      </c>
      <c r="M10" s="160"/>
      <c r="N10" s="161">
        <f>3*M10</f>
        <v>0</v>
      </c>
      <c r="O10" s="192">
        <v>20</v>
      </c>
      <c r="P10" s="193">
        <f t="shared" si="0"/>
        <v>120</v>
      </c>
      <c r="Q10" s="221"/>
      <c r="R10" s="193">
        <f t="shared" si="1"/>
        <v>120</v>
      </c>
      <c r="S10" s="197"/>
      <c r="T10" s="5"/>
      <c r="U10" s="258">
        <v>728.8</v>
      </c>
      <c r="V10" s="259">
        <v>103.44</v>
      </c>
      <c r="W10" s="260">
        <v>695.36</v>
      </c>
      <c r="X10" s="264" t="s">
        <v>35</v>
      </c>
      <c r="Y10" s="266"/>
    </row>
    <row r="11" spans="8:25">
      <c r="H11" s="141"/>
      <c r="I11" s="126" t="s">
        <v>56</v>
      </c>
      <c r="J11" s="80" t="s">
        <v>136</v>
      </c>
      <c r="K11" s="226"/>
      <c r="L11" s="227">
        <v>0</v>
      </c>
      <c r="M11" s="162">
        <v>18</v>
      </c>
      <c r="N11" s="163">
        <f>3*M11</f>
        <v>54</v>
      </c>
      <c r="O11" s="74"/>
      <c r="P11" s="75">
        <f t="shared" si="0"/>
        <v>0</v>
      </c>
      <c r="Q11" s="217"/>
      <c r="R11" s="9">
        <f t="shared" si="1"/>
        <v>54</v>
      </c>
      <c r="S11" s="107"/>
      <c r="T11" s="5"/>
      <c r="U11" s="261">
        <v>720</v>
      </c>
      <c r="V11" s="256">
        <f>+V10*U11/U10</f>
        <v>102.19099890230517</v>
      </c>
      <c r="W11" s="257">
        <f>+U11-V11</f>
        <v>617.80900109769482</v>
      </c>
      <c r="X11" s="37"/>
    </row>
    <row r="12" spans="8:25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>
        <v>23</v>
      </c>
      <c r="P12" s="75">
        <f t="shared" si="0"/>
        <v>138</v>
      </c>
      <c r="Q12" s="218"/>
      <c r="R12" s="9">
        <f t="shared" si="1"/>
        <v>138</v>
      </c>
      <c r="S12" s="106"/>
      <c r="T12" s="5"/>
      <c r="U12" s="32">
        <f>+U10-U11</f>
        <v>8.7999999999999545</v>
      </c>
      <c r="V12" s="47"/>
      <c r="W12" s="33"/>
      <c r="X12" s="262" t="s">
        <v>59</v>
      </c>
    </row>
    <row r="13" spans="8:25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141.20000000000005</v>
      </c>
      <c r="W13" s="39" t="s">
        <v>63</v>
      </c>
      <c r="X13" s="263">
        <f>150-V13</f>
        <v>8.7999999999999545</v>
      </c>
    </row>
    <row r="14" spans="8:25">
      <c r="H14" s="95"/>
      <c r="I14" s="25" t="s">
        <v>20</v>
      </c>
      <c r="J14" s="81" t="s">
        <v>195</v>
      </c>
      <c r="K14" s="228"/>
      <c r="L14" s="227">
        <f>+K14*3</f>
        <v>0</v>
      </c>
      <c r="M14" s="164"/>
      <c r="N14" s="163">
        <f>+M14*3</f>
        <v>0</v>
      </c>
      <c r="O14" s="28">
        <v>26</v>
      </c>
      <c r="P14" s="75">
        <f t="shared" si="0"/>
        <v>150</v>
      </c>
      <c r="Q14" s="218"/>
      <c r="R14" s="9">
        <f t="shared" si="1"/>
        <v>150</v>
      </c>
      <c r="S14" s="107"/>
      <c r="T14" s="5"/>
      <c r="U14" s="10"/>
      <c r="X14" s="37"/>
    </row>
    <row r="15" spans="8:25">
      <c r="H15" s="95"/>
      <c r="I15" s="25" t="s">
        <v>25</v>
      </c>
      <c r="J15" s="81" t="s">
        <v>118</v>
      </c>
      <c r="K15" s="228"/>
      <c r="L15" s="227">
        <f>+K15*3</f>
        <v>0</v>
      </c>
      <c r="M15" s="164"/>
      <c r="N15" s="163">
        <f>+M15*3</f>
        <v>0</v>
      </c>
      <c r="O15" s="28">
        <v>25</v>
      </c>
      <c r="P15" s="75">
        <f t="shared" si="0"/>
        <v>150</v>
      </c>
      <c r="Q15" s="218"/>
      <c r="R15" s="11">
        <f t="shared" si="1"/>
        <v>150</v>
      </c>
      <c r="S15" s="107"/>
      <c r="T15" s="5"/>
      <c r="U15" s="258">
        <v>870</v>
      </c>
      <c r="V15" s="259">
        <v>103.44</v>
      </c>
      <c r="W15" s="260">
        <v>695.36</v>
      </c>
      <c r="X15" s="100"/>
      <c r="Y15" s="266"/>
    </row>
    <row r="16" spans="8:25">
      <c r="H16" s="95"/>
      <c r="I16" s="25" t="s">
        <v>41</v>
      </c>
      <c r="J16" s="81" t="s">
        <v>112</v>
      </c>
      <c r="K16" s="228"/>
      <c r="L16" s="227">
        <f>+K16*3</f>
        <v>0</v>
      </c>
      <c r="M16" s="164"/>
      <c r="N16" s="163">
        <f>+M16*3</f>
        <v>0</v>
      </c>
      <c r="O16" s="28">
        <v>27</v>
      </c>
      <c r="P16" s="75">
        <f t="shared" si="0"/>
        <v>150</v>
      </c>
      <c r="Q16" s="218"/>
      <c r="R16" s="11">
        <f t="shared" si="1"/>
        <v>150</v>
      </c>
      <c r="S16" s="107"/>
      <c r="T16" s="5"/>
      <c r="U16" s="261">
        <v>720</v>
      </c>
      <c r="V16" s="256">
        <f>+V15*U16/U15</f>
        <v>85.605517241379317</v>
      </c>
      <c r="W16" s="257">
        <f>+U16-V16</f>
        <v>634.39448275862071</v>
      </c>
      <c r="X16" s="37"/>
    </row>
    <row r="17" spans="1:29">
      <c r="A17" s="215"/>
      <c r="H17" s="83"/>
      <c r="I17" s="126" t="s">
        <v>71</v>
      </c>
      <c r="J17" s="80" t="s">
        <v>139</v>
      </c>
      <c r="K17" s="226"/>
      <c r="L17" s="227">
        <f>5*K17</f>
        <v>0</v>
      </c>
      <c r="M17" s="162"/>
      <c r="N17" s="163">
        <f>5*M17</f>
        <v>0</v>
      </c>
      <c r="O17" s="76">
        <v>23</v>
      </c>
      <c r="P17" s="75">
        <f t="shared" si="0"/>
        <v>138</v>
      </c>
      <c r="Q17" s="217"/>
      <c r="R17" s="11">
        <f t="shared" si="1"/>
        <v>138</v>
      </c>
      <c r="S17" s="106"/>
      <c r="T17" s="5"/>
      <c r="U17" s="32">
        <f>+U15-U16</f>
        <v>150</v>
      </c>
      <c r="V17" s="47"/>
      <c r="W17" s="33"/>
      <c r="X17" s="262" t="s">
        <v>59</v>
      </c>
    </row>
    <row r="18" spans="1:29">
      <c r="A18" s="215"/>
      <c r="H18" s="141"/>
      <c r="I18" s="25" t="s">
        <v>28</v>
      </c>
      <c r="J18" s="81" t="s">
        <v>122</v>
      </c>
      <c r="K18" s="228"/>
      <c r="L18" s="227">
        <f>+K18*3</f>
        <v>0</v>
      </c>
      <c r="M18" s="164"/>
      <c r="N18" s="163">
        <f>+M18*3</f>
        <v>0</v>
      </c>
      <c r="O18" s="74">
        <v>28</v>
      </c>
      <c r="P18" s="75">
        <f t="shared" si="0"/>
        <v>150</v>
      </c>
      <c r="Q18" s="217"/>
      <c r="R18" s="9">
        <f t="shared" si="1"/>
        <v>150</v>
      </c>
      <c r="S18" s="107"/>
      <c r="T18" s="5"/>
      <c r="U18" s="34">
        <v>150</v>
      </c>
      <c r="V18" s="38">
        <f>+U18-U17</f>
        <v>0</v>
      </c>
      <c r="W18" s="39" t="s">
        <v>63</v>
      </c>
      <c r="X18" s="263">
        <f>150-V18</f>
        <v>150</v>
      </c>
    </row>
    <row r="19" spans="1:29">
      <c r="A19" s="215"/>
      <c r="H19" s="141"/>
      <c r="I19" s="25" t="s">
        <v>10</v>
      </c>
      <c r="J19" s="81" t="s">
        <v>191</v>
      </c>
      <c r="K19" s="228"/>
      <c r="L19" s="227">
        <f>3*K19</f>
        <v>0</v>
      </c>
      <c r="M19" s="164"/>
      <c r="N19" s="163">
        <v>0</v>
      </c>
      <c r="O19" s="74"/>
      <c r="P19" s="75">
        <f t="shared" si="0"/>
        <v>0</v>
      </c>
      <c r="Q19" s="217"/>
      <c r="R19" s="9">
        <f t="shared" si="1"/>
        <v>0</v>
      </c>
      <c r="S19" s="107"/>
      <c r="T19" s="5"/>
      <c r="U19" s="10"/>
      <c r="X19" s="37"/>
    </row>
    <row r="20" spans="1:29">
      <c r="A20" s="215"/>
      <c r="H20" s="142"/>
      <c r="I20" s="25" t="s">
        <v>4</v>
      </c>
      <c r="J20" s="81" t="s">
        <v>111</v>
      </c>
      <c r="K20" s="228"/>
      <c r="L20" s="227">
        <v>0</v>
      </c>
      <c r="M20" s="164"/>
      <c r="N20" s="163">
        <v>0</v>
      </c>
      <c r="O20" s="28"/>
      <c r="P20" s="75">
        <f t="shared" si="0"/>
        <v>0</v>
      </c>
      <c r="Q20" s="218"/>
      <c r="R20" s="11">
        <f t="shared" si="1"/>
        <v>0</v>
      </c>
      <c r="S20" s="107"/>
      <c r="T20" s="5"/>
      <c r="U20" s="58"/>
      <c r="V20" s="59"/>
      <c r="W20" s="60"/>
      <c r="X20" s="61"/>
    </row>
    <row r="21" spans="1:29">
      <c r="A21" s="215"/>
      <c r="H21" s="251" t="s">
        <v>50</v>
      </c>
      <c r="I21" s="252" t="s">
        <v>9</v>
      </c>
      <c r="J21" s="250" t="s">
        <v>128</v>
      </c>
      <c r="K21" s="229"/>
      <c r="L21" s="230">
        <v>0</v>
      </c>
      <c r="M21" s="160">
        <v>13</v>
      </c>
      <c r="N21" s="161">
        <v>0</v>
      </c>
      <c r="O21" s="23"/>
      <c r="P21" s="24">
        <f t="shared" si="0"/>
        <v>0</v>
      </c>
      <c r="Q21" s="219"/>
      <c r="R21" s="24">
        <f t="shared" si="1"/>
        <v>0</v>
      </c>
      <c r="S21" s="108"/>
      <c r="T21" s="5"/>
      <c r="U21" s="103" t="s">
        <v>161</v>
      </c>
    </row>
    <row r="22" spans="1:29">
      <c r="A22" s="215"/>
      <c r="H22" s="251" t="s">
        <v>50</v>
      </c>
      <c r="I22" s="252" t="s">
        <v>236</v>
      </c>
      <c r="J22" s="250" t="s">
        <v>235</v>
      </c>
      <c r="K22" s="229"/>
      <c r="L22" s="230">
        <v>0</v>
      </c>
      <c r="M22" s="160">
        <v>13</v>
      </c>
      <c r="N22" s="161">
        <v>0</v>
      </c>
      <c r="O22" s="23"/>
      <c r="P22" s="24">
        <f t="shared" si="0"/>
        <v>0</v>
      </c>
      <c r="Q22" s="219"/>
      <c r="R22" s="24">
        <f t="shared" si="1"/>
        <v>0</v>
      </c>
      <c r="S22" s="108"/>
      <c r="T22" s="5"/>
      <c r="U22" s="176" t="s">
        <v>158</v>
      </c>
      <c r="V22" s="177" t="s">
        <v>159</v>
      </c>
      <c r="W22" s="178"/>
      <c r="X22" s="174" t="s">
        <v>157</v>
      </c>
    </row>
    <row r="23" spans="1:29">
      <c r="A23" s="237"/>
      <c r="B23" s="237"/>
      <c r="C23" s="237"/>
      <c r="D23" s="238"/>
      <c r="E23" s="237"/>
      <c r="F23" s="239"/>
      <c r="G23" s="237"/>
      <c r="H23" s="142"/>
      <c r="I23" s="25" t="s">
        <v>51</v>
      </c>
      <c r="J23" s="96" t="s">
        <v>134</v>
      </c>
      <c r="K23" s="29"/>
      <c r="L23" s="27">
        <f>+K23*3</f>
        <v>0</v>
      </c>
      <c r="M23" s="164"/>
      <c r="N23" s="163">
        <f>+M23*3</f>
        <v>0</v>
      </c>
      <c r="O23" s="28"/>
      <c r="P23" s="11">
        <f t="shared" si="0"/>
        <v>0</v>
      </c>
      <c r="Q23" s="218"/>
      <c r="R23" s="240">
        <f t="shared" si="1"/>
        <v>0</v>
      </c>
      <c r="S23" s="241"/>
      <c r="T23" s="5"/>
      <c r="U23" s="176" t="s">
        <v>158</v>
      </c>
      <c r="V23" s="177" t="s">
        <v>159</v>
      </c>
      <c r="W23" s="178"/>
      <c r="X23" s="174" t="s">
        <v>157</v>
      </c>
    </row>
    <row r="24" spans="1:29">
      <c r="A24" s="215"/>
      <c r="H24" s="83"/>
      <c r="I24" s="126" t="s">
        <v>61</v>
      </c>
      <c r="J24" s="80" t="s">
        <v>137</v>
      </c>
      <c r="K24" s="226"/>
      <c r="L24" s="227">
        <f>3*K24</f>
        <v>0</v>
      </c>
      <c r="M24" s="162">
        <v>17</v>
      </c>
      <c r="N24" s="163">
        <f>3*M24</f>
        <v>51</v>
      </c>
      <c r="O24" s="72"/>
      <c r="P24" s="75">
        <f t="shared" si="0"/>
        <v>0</v>
      </c>
      <c r="Q24" s="217"/>
      <c r="R24" s="11">
        <f t="shared" si="1"/>
        <v>51</v>
      </c>
      <c r="S24" s="106"/>
      <c r="T24" s="5"/>
      <c r="U24" s="179">
        <v>43480</v>
      </c>
      <c r="V24" s="170">
        <v>1</v>
      </c>
      <c r="W24" s="180"/>
      <c r="X24" s="33" t="s">
        <v>156</v>
      </c>
    </row>
    <row r="25" spans="1:29">
      <c r="A25" s="215"/>
      <c r="H25" s="83"/>
      <c r="I25" s="25" t="s">
        <v>14</v>
      </c>
      <c r="J25" s="96" t="s">
        <v>125</v>
      </c>
      <c r="K25" s="228"/>
      <c r="L25" s="227">
        <f>+K25*3</f>
        <v>0</v>
      </c>
      <c r="M25" s="164"/>
      <c r="N25" s="163">
        <v>0</v>
      </c>
      <c r="O25" s="74">
        <v>26</v>
      </c>
      <c r="P25" s="75">
        <f t="shared" si="0"/>
        <v>150</v>
      </c>
      <c r="Q25" s="218"/>
      <c r="R25" s="11">
        <f t="shared" si="1"/>
        <v>150</v>
      </c>
      <c r="S25" s="107"/>
      <c r="T25" s="5"/>
      <c r="U25" s="179">
        <f>1+U24</f>
        <v>43481</v>
      </c>
      <c r="V25" s="170">
        <v>1</v>
      </c>
      <c r="W25" s="181"/>
      <c r="X25" s="33" t="s">
        <v>151</v>
      </c>
    </row>
    <row r="26" spans="1:29">
      <c r="A26" s="215"/>
      <c r="H26" s="83"/>
      <c r="I26" s="126" t="s">
        <v>79</v>
      </c>
      <c r="J26" s="82" t="s">
        <v>110</v>
      </c>
      <c r="K26" s="228"/>
      <c r="L26" s="227">
        <v>0</v>
      </c>
      <c r="M26" s="164"/>
      <c r="N26" s="163">
        <f>3*M26</f>
        <v>0</v>
      </c>
      <c r="O26" s="76">
        <v>29</v>
      </c>
      <c r="P26" s="75">
        <f t="shared" si="0"/>
        <v>150</v>
      </c>
      <c r="Q26" s="217"/>
      <c r="R26" s="11">
        <f t="shared" si="1"/>
        <v>150</v>
      </c>
      <c r="S26" s="106"/>
      <c r="T26" s="5"/>
      <c r="U26" s="179">
        <f>1+U25</f>
        <v>43482</v>
      </c>
      <c r="V26" s="170">
        <v>1</v>
      </c>
      <c r="W26" s="182"/>
      <c r="X26" s="33" t="s">
        <v>152</v>
      </c>
    </row>
    <row r="27" spans="1:29">
      <c r="H27" s="247" t="s">
        <v>50</v>
      </c>
      <c r="I27" s="248" t="s">
        <v>214</v>
      </c>
      <c r="J27" s="249" t="s">
        <v>215</v>
      </c>
      <c r="K27" s="229"/>
      <c r="L27" s="230">
        <v>0</v>
      </c>
      <c r="M27" s="160">
        <v>14</v>
      </c>
      <c r="N27" s="161">
        <f>3*M27</f>
        <v>42</v>
      </c>
      <c r="O27" s="192"/>
      <c r="P27" s="193">
        <f t="shared" si="0"/>
        <v>0</v>
      </c>
      <c r="Q27" s="221"/>
      <c r="R27" s="193">
        <f t="shared" si="1"/>
        <v>42</v>
      </c>
      <c r="S27" s="108"/>
      <c r="T27" s="5"/>
      <c r="U27" s="179">
        <f>1+U26</f>
        <v>43483</v>
      </c>
      <c r="V27" s="170">
        <v>1</v>
      </c>
      <c r="W27" s="181"/>
      <c r="X27" s="33" t="s">
        <v>153</v>
      </c>
    </row>
    <row r="28" spans="1:29">
      <c r="A28" s="216"/>
      <c r="B28" s="4"/>
      <c r="C28" s="4"/>
      <c r="D28" s="3"/>
      <c r="E28" s="4"/>
      <c r="F28" s="40"/>
      <c r="G28" s="4"/>
      <c r="H28" s="83"/>
      <c r="I28" s="25" t="s">
        <v>0</v>
      </c>
      <c r="J28" s="81" t="s">
        <v>108</v>
      </c>
      <c r="K28" s="228"/>
      <c r="L28" s="227">
        <f>+K28*5</f>
        <v>0</v>
      </c>
      <c r="M28" s="164"/>
      <c r="N28" s="163">
        <f>+M28*5</f>
        <v>0</v>
      </c>
      <c r="O28" s="74"/>
      <c r="P28" s="75">
        <v>0</v>
      </c>
      <c r="Q28" s="217"/>
      <c r="R28" s="9">
        <f t="shared" si="1"/>
        <v>0</v>
      </c>
      <c r="S28" s="107"/>
      <c r="T28" s="5"/>
      <c r="U28" s="179">
        <f>1+U27</f>
        <v>43484</v>
      </c>
      <c r="V28" s="170">
        <v>0.5</v>
      </c>
      <c r="W28" s="183"/>
      <c r="X28" s="33" t="s">
        <v>154</v>
      </c>
    </row>
    <row r="29" spans="1:29">
      <c r="A29" s="237"/>
      <c r="B29" s="237"/>
      <c r="C29" s="237"/>
      <c r="D29" s="238"/>
      <c r="E29" s="237"/>
      <c r="F29" s="239"/>
      <c r="G29" s="237"/>
      <c r="H29" s="142"/>
      <c r="I29" s="25" t="s">
        <v>45</v>
      </c>
      <c r="J29" s="96" t="s">
        <v>133</v>
      </c>
      <c r="K29" s="29"/>
      <c r="L29" s="27">
        <f>+K29*3</f>
        <v>0</v>
      </c>
      <c r="M29" s="164"/>
      <c r="N29" s="163">
        <f>+M29*3</f>
        <v>0</v>
      </c>
      <c r="O29" s="28">
        <v>22</v>
      </c>
      <c r="P29" s="11">
        <f t="shared" ref="P29:P42" si="2">IF(O29&gt;25,150,(O29)*6)</f>
        <v>132</v>
      </c>
      <c r="Q29" s="218"/>
      <c r="R29" s="240">
        <f t="shared" si="1"/>
        <v>132</v>
      </c>
      <c r="S29" s="241"/>
      <c r="T29" s="5"/>
      <c r="U29" s="184"/>
      <c r="V29" s="170">
        <f>SUM(V24:V28)</f>
        <v>4.5</v>
      </c>
      <c r="W29" s="183" t="s">
        <v>148</v>
      </c>
      <c r="X29" s="175" t="s">
        <v>155</v>
      </c>
    </row>
    <row r="30" spans="1:29">
      <c r="A30" s="215"/>
      <c r="H30" s="251" t="s">
        <v>50</v>
      </c>
      <c r="I30" s="252" t="s">
        <v>13</v>
      </c>
      <c r="J30" s="250" t="s">
        <v>121</v>
      </c>
      <c r="K30" s="229"/>
      <c r="L30" s="230">
        <f>3*K30</f>
        <v>0</v>
      </c>
      <c r="M30" s="160"/>
      <c r="N30" s="161">
        <v>0</v>
      </c>
      <c r="O30" s="23"/>
      <c r="P30" s="24">
        <f t="shared" si="2"/>
        <v>0</v>
      </c>
      <c r="Q30" s="219"/>
      <c r="R30" s="24">
        <f t="shared" si="1"/>
        <v>0</v>
      </c>
      <c r="S30" s="108"/>
      <c r="T30" s="5"/>
      <c r="U30" s="184"/>
      <c r="V30" s="171">
        <v>18</v>
      </c>
      <c r="W30" s="185" t="s">
        <v>149</v>
      </c>
      <c r="X30" s="61"/>
    </row>
    <row r="31" spans="1:29" ht="16.5">
      <c r="A31" s="215"/>
      <c r="H31" s="83"/>
      <c r="I31" s="25" t="s">
        <v>31</v>
      </c>
      <c r="J31" s="81" t="s">
        <v>127</v>
      </c>
      <c r="K31" s="228"/>
      <c r="L31" s="227">
        <v>0</v>
      </c>
      <c r="M31" s="164"/>
      <c r="N31" s="163">
        <v>0</v>
      </c>
      <c r="O31" s="74">
        <v>27</v>
      </c>
      <c r="P31" s="75">
        <f t="shared" si="2"/>
        <v>150</v>
      </c>
      <c r="Q31" s="218"/>
      <c r="R31" s="11">
        <f t="shared" si="1"/>
        <v>150</v>
      </c>
      <c r="S31" s="107"/>
      <c r="T31" s="5"/>
      <c r="U31" s="186" t="s">
        <v>160</v>
      </c>
      <c r="V31" s="172">
        <f>+V30/V29</f>
        <v>4</v>
      </c>
      <c r="W31" s="173" t="s">
        <v>150</v>
      </c>
      <c r="X31" s="61"/>
    </row>
    <row r="32" spans="1:29">
      <c r="A32" s="215"/>
      <c r="H32" s="83"/>
      <c r="I32" s="25" t="s">
        <v>30</v>
      </c>
      <c r="J32" s="81" t="s">
        <v>126</v>
      </c>
      <c r="K32" s="228"/>
      <c r="L32" s="227">
        <f>+K32*3</f>
        <v>0</v>
      </c>
      <c r="M32" s="164"/>
      <c r="N32" s="163">
        <f>+M32*3</f>
        <v>0</v>
      </c>
      <c r="O32" s="28">
        <v>27</v>
      </c>
      <c r="P32" s="11">
        <f t="shared" si="2"/>
        <v>150</v>
      </c>
      <c r="Q32" s="218"/>
      <c r="R32" s="11">
        <f t="shared" si="1"/>
        <v>150</v>
      </c>
      <c r="S32" s="107"/>
      <c r="T32" s="5"/>
      <c r="U32" s="58"/>
      <c r="V32" s="59"/>
      <c r="W32" s="60"/>
      <c r="X32" s="65"/>
      <c r="AC32">
        <v>4</v>
      </c>
    </row>
    <row r="33" spans="1:29">
      <c r="A33" s="215"/>
      <c r="H33" s="247" t="s">
        <v>50</v>
      </c>
      <c r="I33" s="248" t="s">
        <v>186</v>
      </c>
      <c r="J33" s="249" t="s">
        <v>187</v>
      </c>
      <c r="K33" s="229"/>
      <c r="L33" s="230">
        <v>0</v>
      </c>
      <c r="M33" s="160"/>
      <c r="N33" s="161">
        <v>0</v>
      </c>
      <c r="O33" s="192">
        <v>27</v>
      </c>
      <c r="P33" s="193">
        <f t="shared" si="2"/>
        <v>150</v>
      </c>
      <c r="Q33" s="221"/>
      <c r="R33" s="193">
        <f t="shared" si="1"/>
        <v>150</v>
      </c>
      <c r="S33" s="108"/>
      <c r="T33" s="5"/>
      <c r="U33" s="58"/>
      <c r="V33" s="66"/>
      <c r="W33" s="67"/>
      <c r="X33" s="66"/>
      <c r="Z33">
        <v>186.44069999999999</v>
      </c>
      <c r="AA33">
        <f>+Z33*0.18</f>
        <v>33.559325999999999</v>
      </c>
      <c r="AB33">
        <f>+Z33+AA33</f>
        <v>220.00002599999999</v>
      </c>
      <c r="AC33">
        <f>+AB33*AC32</f>
        <v>880.00010399999996</v>
      </c>
    </row>
    <row r="34" spans="1:29" s="4" customFormat="1">
      <c r="A34" s="215"/>
      <c r="B34"/>
      <c r="C34"/>
      <c r="D34" s="1"/>
      <c r="E34"/>
      <c r="F34" s="2"/>
      <c r="G34"/>
      <c r="H34" s="83"/>
      <c r="I34" s="25" t="s">
        <v>17</v>
      </c>
      <c r="J34" s="81" t="s">
        <v>123</v>
      </c>
      <c r="K34" s="228"/>
      <c r="L34" s="227">
        <f>+K34*3</f>
        <v>0</v>
      </c>
      <c r="M34" s="164"/>
      <c r="N34" s="163">
        <f>+M34*3</f>
        <v>0</v>
      </c>
      <c r="O34" s="74">
        <v>15</v>
      </c>
      <c r="P34" s="75">
        <f t="shared" si="2"/>
        <v>90</v>
      </c>
      <c r="Q34" s="218"/>
      <c r="R34" s="11">
        <f t="shared" si="1"/>
        <v>90</v>
      </c>
      <c r="S34" s="107"/>
      <c r="T34" s="5"/>
      <c r="U34" s="64"/>
      <c r="V34" s="59"/>
      <c r="W34" s="60"/>
      <c r="X34" s="68"/>
      <c r="Z34" s="4">
        <v>206.44069999999999</v>
      </c>
      <c r="AA34">
        <f>+Z34*0.18</f>
        <v>37.159326</v>
      </c>
      <c r="AB34">
        <f>+Z34+AA34</f>
        <v>243.60002599999999</v>
      </c>
      <c r="AC34" s="4">
        <f>+AB34*AC32</f>
        <v>974.40010399999994</v>
      </c>
    </row>
    <row r="35" spans="1:29">
      <c r="A35" s="215"/>
      <c r="H35" s="83"/>
      <c r="I35" s="25" t="s">
        <v>60</v>
      </c>
      <c r="J35" s="81" t="s">
        <v>132</v>
      </c>
      <c r="K35" s="228"/>
      <c r="L35" s="227">
        <v>0</v>
      </c>
      <c r="M35" s="164"/>
      <c r="N35" s="163">
        <v>0</v>
      </c>
      <c r="O35" s="74"/>
      <c r="P35" s="75">
        <f>IF(O35&gt;25,150,(O35)*6)</f>
        <v>0</v>
      </c>
      <c r="Q35" s="218"/>
      <c r="R35" s="11">
        <f>+L35+N35+P35+Q35</f>
        <v>0</v>
      </c>
      <c r="S35" s="107"/>
      <c r="T35" s="5"/>
      <c r="U35" s="58"/>
      <c r="V35" s="59"/>
      <c r="W35" s="60"/>
      <c r="X35" s="69"/>
      <c r="Z35">
        <f>+Z34-Z33</f>
        <v>20</v>
      </c>
      <c r="AA35">
        <f>+AA34-AA33</f>
        <v>3.6000000000000014</v>
      </c>
      <c r="AB35">
        <f>+AB34-AB33</f>
        <v>23.599999999999994</v>
      </c>
      <c r="AC35">
        <f>+AB35*AC32</f>
        <v>94.399999999999977</v>
      </c>
    </row>
    <row r="36" spans="1:29">
      <c r="H36" s="251" t="s">
        <v>50</v>
      </c>
      <c r="I36" s="252" t="s">
        <v>233</v>
      </c>
      <c r="J36" s="250" t="s">
        <v>234</v>
      </c>
      <c r="K36" s="229"/>
      <c r="L36" s="230">
        <v>0</v>
      </c>
      <c r="M36" s="160">
        <v>13</v>
      </c>
      <c r="N36" s="161">
        <v>0</v>
      </c>
      <c r="O36" s="23"/>
      <c r="P36" s="24">
        <f t="shared" si="2"/>
        <v>0</v>
      </c>
      <c r="Q36" s="219"/>
      <c r="R36" s="24">
        <f t="shared" si="1"/>
        <v>0</v>
      </c>
      <c r="S36" s="108"/>
      <c r="T36" s="5"/>
      <c r="U36" s="58"/>
      <c r="V36" s="59"/>
      <c r="W36" s="60"/>
      <c r="X36" s="65"/>
    </row>
    <row r="37" spans="1:29">
      <c r="A37" s="215"/>
      <c r="H37" s="142"/>
      <c r="I37" s="25" t="s">
        <v>8</v>
      </c>
      <c r="J37" s="81" t="s">
        <v>120</v>
      </c>
      <c r="K37" s="228"/>
      <c r="L37" s="227">
        <v>0</v>
      </c>
      <c r="M37" s="164"/>
      <c r="N37" s="163">
        <v>0</v>
      </c>
      <c r="O37" s="28">
        <v>22</v>
      </c>
      <c r="P37" s="75">
        <f t="shared" si="2"/>
        <v>132</v>
      </c>
      <c r="Q37" s="218"/>
      <c r="R37" s="57">
        <f t="shared" si="1"/>
        <v>132</v>
      </c>
      <c r="S37" s="107"/>
      <c r="T37" s="5"/>
      <c r="U37" s="58"/>
      <c r="V37" s="59"/>
      <c r="W37" s="60"/>
    </row>
    <row r="38" spans="1:29">
      <c r="A38" s="215"/>
      <c r="H38" s="83"/>
      <c r="I38" s="25" t="s">
        <v>11</v>
      </c>
      <c r="J38" s="96" t="s">
        <v>130</v>
      </c>
      <c r="K38" s="228"/>
      <c r="L38" s="227">
        <f>+K38*3</f>
        <v>0</v>
      </c>
      <c r="M38" s="164"/>
      <c r="N38" s="163">
        <f>+M38*3</f>
        <v>0</v>
      </c>
      <c r="O38" s="74"/>
      <c r="P38" s="75">
        <f t="shared" si="2"/>
        <v>0</v>
      </c>
      <c r="Q38" s="220"/>
      <c r="R38" s="11">
        <f t="shared" si="1"/>
        <v>0</v>
      </c>
      <c r="S38" s="107"/>
      <c r="T38" s="5"/>
      <c r="U38" s="58"/>
      <c r="V38" s="59"/>
      <c r="W38" s="60"/>
      <c r="X38" s="61"/>
    </row>
    <row r="39" spans="1:29">
      <c r="H39" s="83"/>
      <c r="I39" s="25" t="s">
        <v>44</v>
      </c>
      <c r="J39" s="96" t="s">
        <v>124</v>
      </c>
      <c r="K39" s="228"/>
      <c r="L39" s="227">
        <f>+K39*3</f>
        <v>0</v>
      </c>
      <c r="M39" s="164"/>
      <c r="N39" s="163">
        <f>+M39*3</f>
        <v>0</v>
      </c>
      <c r="O39" s="113"/>
      <c r="P39" s="75">
        <f t="shared" si="2"/>
        <v>0</v>
      </c>
      <c r="Q39" s="218"/>
      <c r="R39" s="11">
        <f t="shared" si="1"/>
        <v>0</v>
      </c>
      <c r="S39" s="107"/>
      <c r="T39" s="5"/>
      <c r="U39" s="58"/>
      <c r="V39" s="59"/>
      <c r="W39" s="62"/>
      <c r="X39" s="63"/>
    </row>
    <row r="40" spans="1:29">
      <c r="H40" s="244"/>
      <c r="I40" s="25" t="s">
        <v>6</v>
      </c>
      <c r="J40" s="96" t="s">
        <v>116</v>
      </c>
      <c r="K40" s="228"/>
      <c r="L40" s="227">
        <f>+K40*3</f>
        <v>0</v>
      </c>
      <c r="M40" s="164"/>
      <c r="N40" s="163">
        <f>+M40*3</f>
        <v>0</v>
      </c>
      <c r="O40" s="74">
        <v>22</v>
      </c>
      <c r="P40" s="75">
        <f t="shared" si="2"/>
        <v>132</v>
      </c>
      <c r="Q40" s="220"/>
      <c r="R40" s="11">
        <f t="shared" si="1"/>
        <v>132</v>
      </c>
      <c r="S40" s="107"/>
      <c r="T40" s="243"/>
      <c r="U40" s="246" t="s">
        <v>226</v>
      </c>
      <c r="V40" s="245"/>
      <c r="W40" s="67"/>
      <c r="X40" s="66"/>
    </row>
    <row r="41" spans="1:29">
      <c r="H41" s="95"/>
      <c r="I41" s="25" t="s">
        <v>53</v>
      </c>
      <c r="J41" s="81" t="s">
        <v>135</v>
      </c>
      <c r="K41" s="228"/>
      <c r="L41" s="227">
        <v>0</v>
      </c>
      <c r="M41" s="164"/>
      <c r="N41" s="163">
        <v>0</v>
      </c>
      <c r="O41" s="28">
        <v>27</v>
      </c>
      <c r="P41" s="75">
        <f t="shared" si="2"/>
        <v>150</v>
      </c>
      <c r="Q41" s="218"/>
      <c r="R41" s="11">
        <f t="shared" si="1"/>
        <v>150</v>
      </c>
      <c r="S41" s="107"/>
      <c r="W41" s="60"/>
      <c r="X41" s="65"/>
    </row>
    <row r="42" spans="1:29">
      <c r="H42" s="81"/>
      <c r="I42" s="120" t="s">
        <v>12</v>
      </c>
      <c r="J42" s="150" t="s">
        <v>114</v>
      </c>
      <c r="K42" s="232"/>
      <c r="L42" s="233">
        <v>0</v>
      </c>
      <c r="M42" s="165">
        <v>15</v>
      </c>
      <c r="N42" s="166">
        <v>0</v>
      </c>
      <c r="O42" s="122"/>
      <c r="P42" s="147">
        <f t="shared" si="2"/>
        <v>0</v>
      </c>
      <c r="Q42" s="222"/>
      <c r="R42" s="124">
        <f t="shared" si="1"/>
        <v>0</v>
      </c>
      <c r="S42" s="148"/>
      <c r="T42" s="5"/>
      <c r="U42" s="58"/>
      <c r="V42" s="59"/>
      <c r="W42" s="60"/>
      <c r="X42" s="65"/>
    </row>
    <row r="43" spans="1:29">
      <c r="I43" s="13"/>
      <c r="J43" s="14"/>
      <c r="K43" s="234">
        <f t="shared" ref="K43:S43" si="3">SUM(K5:K42)</f>
        <v>0</v>
      </c>
      <c r="L43" s="235">
        <f t="shared" si="3"/>
        <v>0</v>
      </c>
      <c r="M43" s="167">
        <f t="shared" si="3"/>
        <v>118</v>
      </c>
      <c r="N43" s="168">
        <f t="shared" si="3"/>
        <v>192</v>
      </c>
      <c r="O43" s="77">
        <f t="shared" si="3"/>
        <v>497</v>
      </c>
      <c r="P43" s="78">
        <f t="shared" si="3"/>
        <v>2802</v>
      </c>
      <c r="Q43" s="223">
        <f t="shared" si="3"/>
        <v>0</v>
      </c>
      <c r="R43" s="78">
        <f t="shared" si="3"/>
        <v>2994</v>
      </c>
      <c r="S43" s="102">
        <f t="shared" si="3"/>
        <v>0</v>
      </c>
      <c r="T43" s="5"/>
      <c r="U43" s="58"/>
      <c r="V43" s="59"/>
      <c r="W43" s="60"/>
      <c r="X43" s="61"/>
    </row>
    <row r="44" spans="1:29">
      <c r="J44" s="200">
        <f ca="1">TODAY()</f>
        <v>43825</v>
      </c>
      <c r="K44" s="41"/>
      <c r="M44" s="42"/>
      <c r="N44" s="41"/>
      <c r="O44" s="45" t="s">
        <v>81</v>
      </c>
      <c r="Q44" s="42"/>
      <c r="R44" s="45">
        <f>+R10+R22+R27+R30+R33+R21+R36</f>
        <v>312</v>
      </c>
      <c r="T44" s="5"/>
      <c r="U44" s="58"/>
      <c r="V44" s="59"/>
      <c r="W44" s="60"/>
      <c r="X44" s="61"/>
    </row>
    <row r="45" spans="1:29">
      <c r="L45" s="43"/>
      <c r="M45" s="44"/>
      <c r="N45" s="125"/>
      <c r="O45" s="43" t="s">
        <v>91</v>
      </c>
      <c r="P45" s="114"/>
      <c r="Q45" s="110" t="s">
        <v>58</v>
      </c>
      <c r="R45" s="111">
        <f>+R43-R44</f>
        <v>2682</v>
      </c>
      <c r="S45" s="109"/>
      <c r="T45" s="5"/>
      <c r="U45" s="58"/>
      <c r="V45" s="59"/>
      <c r="W45" s="60"/>
      <c r="X45" s="65"/>
    </row>
    <row r="46" spans="1:29">
      <c r="P46" s="19"/>
      <c r="U46" s="58"/>
      <c r="V46" s="59"/>
      <c r="W46" s="62"/>
      <c r="X46" s="60"/>
    </row>
    <row r="47" spans="1:29" ht="3.95" customHeight="1">
      <c r="I47" s="254" t="s">
        <v>237</v>
      </c>
      <c r="P47" s="19"/>
      <c r="U47" s="58"/>
      <c r="V47" s="59"/>
      <c r="W47" s="62"/>
      <c r="X47" s="60"/>
    </row>
    <row r="48" spans="1:29">
      <c r="I48" s="255" t="s">
        <v>244</v>
      </c>
      <c r="P48" s="19"/>
      <c r="U48" s="64"/>
      <c r="V48" s="59"/>
      <c r="W48" s="60"/>
      <c r="X48" s="68"/>
    </row>
    <row r="49" spans="9:24">
      <c r="I49" s="254" t="s">
        <v>238</v>
      </c>
      <c r="P49" s="19"/>
      <c r="U49" s="58"/>
      <c r="V49" s="66"/>
      <c r="W49" s="67"/>
      <c r="X49" s="69"/>
    </row>
    <row r="50" spans="9:24">
      <c r="I50" s="254" t="s">
        <v>239</v>
      </c>
      <c r="P50" s="19"/>
      <c r="U50" s="60"/>
      <c r="V50" s="59"/>
      <c r="W50" s="60"/>
      <c r="X50" s="60"/>
    </row>
    <row r="51" spans="9:24">
      <c r="I51" s="254" t="s">
        <v>240</v>
      </c>
      <c r="P51" s="19"/>
      <c r="U51" s="60"/>
      <c r="V51" s="59"/>
      <c r="W51" s="60"/>
      <c r="X51" s="60"/>
    </row>
    <row r="52" spans="9:24">
      <c r="I52" s="254" t="s">
        <v>241</v>
      </c>
      <c r="U52" s="60"/>
      <c r="V52" s="59"/>
      <c r="W52" s="60"/>
      <c r="X52" s="60"/>
    </row>
    <row r="53" spans="9:24">
      <c r="I53" s="254" t="s">
        <v>242</v>
      </c>
      <c r="P53" s="19"/>
      <c r="U53" s="60"/>
      <c r="V53" s="59"/>
      <c r="W53" s="60"/>
      <c r="X53" s="60"/>
    </row>
    <row r="54" spans="9:24">
      <c r="I54" s="254" t="s">
        <v>243</v>
      </c>
      <c r="P54" s="19"/>
      <c r="U54" s="60"/>
      <c r="V54" s="59"/>
      <c r="W54" s="60"/>
      <c r="X54" s="60"/>
    </row>
    <row r="55" spans="9:24" ht="3.95" customHeight="1">
      <c r="U55" s="60"/>
      <c r="V55" s="59"/>
      <c r="W55" s="60"/>
      <c r="X55" s="60"/>
    </row>
    <row r="56" spans="9:24">
      <c r="U56" s="60"/>
      <c r="V56" s="59"/>
      <c r="W56" s="60"/>
      <c r="X56" s="60"/>
    </row>
  </sheetData>
  <mergeCells count="4">
    <mergeCell ref="I2:R2"/>
    <mergeCell ref="K3:N3"/>
    <mergeCell ref="O3:P3"/>
    <mergeCell ref="T3:V3"/>
  </mergeCells>
  <conditionalFormatting sqref="R5">
    <cfRule type="cellIs" dxfId="46" priority="2" operator="lessThanOrEqual">
      <formula>0</formula>
    </cfRule>
  </conditionalFormatting>
  <conditionalFormatting sqref="R5:R42">
    <cfRule type="cellIs" dxfId="45" priority="1" operator="greaterThan">
      <formula>0</formula>
    </cfRule>
  </conditionalFormatting>
  <printOptions horizontalCentered="1"/>
  <pageMargins left="0" right="0" top="0.82677165354330717" bottom="0" header="0" footer="0"/>
  <pageSetup paperSize="9" scale="110" orientation="portrait" r:id="rId1"/>
  <ignoredErrors>
    <ignoredError sqref="L17:N20 L23:N23 L21 N21 L22 N22 L25:N26 L24 L28:N31 L27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56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40" sqref="A40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.28515625" customWidth="1"/>
    <col min="9" max="9" width="7.140625" customWidth="1"/>
    <col min="10" max="10" width="23" customWidth="1"/>
    <col min="11" max="11" width="1.7109375" customWidth="1"/>
    <col min="12" max="12" width="3.7109375" customWidth="1"/>
    <col min="13" max="13" width="5.7109375" customWidth="1"/>
    <col min="14" max="14" width="11.28515625" customWidth="1"/>
    <col min="15" max="15" width="6.140625" customWidth="1"/>
    <col min="16" max="16" width="11.42578125" customWidth="1"/>
    <col min="17" max="17" width="7.7109375" customWidth="1"/>
    <col min="18" max="18" width="13.85546875" customWidth="1"/>
    <col min="19" max="19" width="3.8554687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5" ht="5.0999999999999996" customHeight="1"/>
    <row r="2" spans="8:25">
      <c r="H2" s="83"/>
      <c r="I2" s="439" t="s">
        <v>228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5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5" ht="42.75" customHeight="1">
      <c r="H4" s="83" t="s">
        <v>143</v>
      </c>
      <c r="I4" s="86" t="s">
        <v>7</v>
      </c>
      <c r="J4" s="86" t="s">
        <v>3</v>
      </c>
      <c r="K4" s="225" t="s">
        <v>15</v>
      </c>
      <c r="L4" s="225" t="s">
        <v>208</v>
      </c>
      <c r="M4" s="198" t="s">
        <v>15</v>
      </c>
      <c r="N4" s="198" t="s">
        <v>229</v>
      </c>
      <c r="O4" s="87" t="s">
        <v>15</v>
      </c>
      <c r="P4" s="87" t="s">
        <v>230</v>
      </c>
      <c r="Q4" s="99" t="s">
        <v>231</v>
      </c>
      <c r="R4" s="88" t="s">
        <v>103</v>
      </c>
      <c r="S4" s="139" t="s">
        <v>104</v>
      </c>
      <c r="T4" s="89"/>
      <c r="U4" s="83"/>
      <c r="V4" s="83"/>
    </row>
    <row r="5" spans="8:25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f>+M5*3</f>
        <v>0</v>
      </c>
      <c r="O5" s="76">
        <v>41</v>
      </c>
      <c r="P5" s="75">
        <f t="shared" ref="P5:P14" si="0">IF(O5&gt;25,150,(O5)*6)</f>
        <v>150</v>
      </c>
      <c r="Q5" s="217"/>
      <c r="R5" s="11">
        <f t="shared" ref="R5:R42" si="1">+L5+N5+P5+Q5</f>
        <v>150</v>
      </c>
      <c r="S5" s="106"/>
      <c r="T5" s="5"/>
      <c r="U5" s="258">
        <v>798.8</v>
      </c>
      <c r="V5" s="259">
        <v>103.44</v>
      </c>
      <c r="W5" s="260">
        <v>695.36</v>
      </c>
      <c r="X5" s="265" t="s">
        <v>110</v>
      </c>
      <c r="Y5" s="266"/>
    </row>
    <row r="6" spans="8:25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261">
        <v>720</v>
      </c>
      <c r="V6" s="256">
        <f>+V5*U6/U5</f>
        <v>93.235853780671022</v>
      </c>
      <c r="W6" s="257">
        <f>+U6-V6</f>
        <v>626.76414621932895</v>
      </c>
      <c r="X6" s="36"/>
    </row>
    <row r="7" spans="8:25">
      <c r="H7" s="83"/>
      <c r="I7" s="126" t="s">
        <v>64</v>
      </c>
      <c r="J7" s="80" t="s">
        <v>138</v>
      </c>
      <c r="K7" s="226"/>
      <c r="L7" s="227">
        <f>+K7*3</f>
        <v>0</v>
      </c>
      <c r="M7" s="162"/>
      <c r="N7" s="163">
        <v>0</v>
      </c>
      <c r="O7" s="76">
        <v>32</v>
      </c>
      <c r="P7" s="75">
        <f t="shared" si="0"/>
        <v>150</v>
      </c>
      <c r="Q7" s="217"/>
      <c r="R7" s="11">
        <f t="shared" si="1"/>
        <v>150</v>
      </c>
      <c r="S7" s="106"/>
      <c r="T7" s="5"/>
      <c r="U7" s="32">
        <f>+U5-U6</f>
        <v>78.799999999999955</v>
      </c>
      <c r="V7" s="47"/>
      <c r="W7" s="33"/>
      <c r="X7" s="262" t="s">
        <v>59</v>
      </c>
    </row>
    <row r="8" spans="8:25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>
        <v>39</v>
      </c>
      <c r="P8" s="75">
        <f t="shared" si="0"/>
        <v>150</v>
      </c>
      <c r="Q8" s="217"/>
      <c r="R8" s="11">
        <f t="shared" si="1"/>
        <v>150</v>
      </c>
      <c r="S8" s="138"/>
      <c r="T8" s="5"/>
      <c r="U8" s="34">
        <v>150</v>
      </c>
      <c r="V8" s="38">
        <f>+U8-U7</f>
        <v>71.200000000000045</v>
      </c>
      <c r="W8" s="39" t="s">
        <v>63</v>
      </c>
      <c r="X8" s="263">
        <f>150-V8</f>
        <v>78.799999999999955</v>
      </c>
    </row>
    <row r="9" spans="8:25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>
        <v>32</v>
      </c>
      <c r="P9" s="75">
        <f t="shared" si="0"/>
        <v>150</v>
      </c>
      <c r="Q9" s="218"/>
      <c r="R9" s="11">
        <f t="shared" si="1"/>
        <v>150</v>
      </c>
      <c r="S9" s="107"/>
      <c r="T9" s="5"/>
      <c r="U9" s="10"/>
      <c r="X9" s="37"/>
    </row>
    <row r="10" spans="8:25" ht="15" customHeight="1">
      <c r="H10" s="253" t="s">
        <v>232</v>
      </c>
      <c r="I10" s="188" t="s">
        <v>1</v>
      </c>
      <c r="J10" s="242" t="s">
        <v>106</v>
      </c>
      <c r="K10" s="192"/>
      <c r="L10" s="193">
        <f>3*K10</f>
        <v>0</v>
      </c>
      <c r="M10" s="160"/>
      <c r="N10" s="161">
        <f>3*M10</f>
        <v>0</v>
      </c>
      <c r="O10" s="192"/>
      <c r="P10" s="193">
        <f t="shared" si="0"/>
        <v>0</v>
      </c>
      <c r="Q10" s="221"/>
      <c r="R10" s="193">
        <f t="shared" si="1"/>
        <v>0</v>
      </c>
      <c r="S10" s="197"/>
      <c r="T10" s="5"/>
      <c r="U10" s="258">
        <v>728.8</v>
      </c>
      <c r="V10" s="259">
        <v>103.44</v>
      </c>
      <c r="W10" s="260">
        <v>695.36</v>
      </c>
      <c r="X10" s="264" t="s">
        <v>35</v>
      </c>
      <c r="Y10" s="266"/>
    </row>
    <row r="11" spans="8:25">
      <c r="H11" s="141"/>
      <c r="I11" s="126" t="s">
        <v>56</v>
      </c>
      <c r="J11" s="80" t="s">
        <v>136</v>
      </c>
      <c r="K11" s="226"/>
      <c r="L11" s="227">
        <v>0</v>
      </c>
      <c r="M11" s="162"/>
      <c r="N11" s="163">
        <v>0</v>
      </c>
      <c r="O11" s="74">
        <v>37</v>
      </c>
      <c r="P11" s="75">
        <f t="shared" si="0"/>
        <v>150</v>
      </c>
      <c r="Q11" s="217"/>
      <c r="R11" s="9">
        <f t="shared" si="1"/>
        <v>150</v>
      </c>
      <c r="S11" s="107"/>
      <c r="T11" s="5"/>
      <c r="U11" s="261">
        <v>720</v>
      </c>
      <c r="V11" s="256">
        <f>+V10*U11/U10</f>
        <v>102.19099890230517</v>
      </c>
      <c r="W11" s="257">
        <f>+U11-V11</f>
        <v>617.80900109769482</v>
      </c>
      <c r="X11" s="37"/>
    </row>
    <row r="12" spans="8:25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>
        <v>27</v>
      </c>
      <c r="P12" s="75">
        <f t="shared" si="0"/>
        <v>150</v>
      </c>
      <c r="Q12" s="218"/>
      <c r="R12" s="9">
        <f t="shared" si="1"/>
        <v>150</v>
      </c>
      <c r="S12" s="106"/>
      <c r="T12" s="5"/>
      <c r="U12" s="32">
        <f>+U10-U11</f>
        <v>8.7999999999999545</v>
      </c>
      <c r="V12" s="47"/>
      <c r="W12" s="33"/>
      <c r="X12" s="262" t="s">
        <v>59</v>
      </c>
    </row>
    <row r="13" spans="8:25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141.20000000000005</v>
      </c>
      <c r="W13" s="39" t="s">
        <v>63</v>
      </c>
      <c r="X13" s="263">
        <f>150-V13</f>
        <v>8.7999999999999545</v>
      </c>
    </row>
    <row r="14" spans="8:25">
      <c r="H14" s="95"/>
      <c r="I14" s="25" t="s">
        <v>20</v>
      </c>
      <c r="J14" s="81" t="s">
        <v>195</v>
      </c>
      <c r="K14" s="228"/>
      <c r="L14" s="227">
        <f>+K14*3</f>
        <v>0</v>
      </c>
      <c r="M14" s="164"/>
      <c r="N14" s="163">
        <f>+M14*3</f>
        <v>0</v>
      </c>
      <c r="O14" s="28">
        <v>39</v>
      </c>
      <c r="P14" s="75">
        <f t="shared" si="0"/>
        <v>150</v>
      </c>
      <c r="Q14" s="218"/>
      <c r="R14" s="9">
        <f t="shared" si="1"/>
        <v>150</v>
      </c>
      <c r="S14" s="107"/>
      <c r="T14" s="5"/>
      <c r="U14" s="10"/>
      <c r="X14" s="37"/>
    </row>
    <row r="15" spans="8:25">
      <c r="H15" s="95"/>
      <c r="I15" s="25" t="s">
        <v>25</v>
      </c>
      <c r="J15" s="81" t="s">
        <v>118</v>
      </c>
      <c r="K15" s="228"/>
      <c r="L15" s="227">
        <f>+K15*3</f>
        <v>0</v>
      </c>
      <c r="M15" s="164"/>
      <c r="N15" s="163">
        <f>+M15*3</f>
        <v>0</v>
      </c>
      <c r="O15" s="28"/>
      <c r="P15" s="75">
        <f t="shared" ref="P15:P27" si="2">IF(O15&gt;25,150,(O15)*6)</f>
        <v>0</v>
      </c>
      <c r="Q15" s="218"/>
      <c r="R15" s="11">
        <f t="shared" si="1"/>
        <v>0</v>
      </c>
      <c r="S15" s="107"/>
      <c r="T15" s="5"/>
      <c r="U15" s="258">
        <v>870</v>
      </c>
      <c r="V15" s="259">
        <v>103.44</v>
      </c>
      <c r="W15" s="260">
        <v>695.36</v>
      </c>
      <c r="X15" s="100"/>
      <c r="Y15" s="266"/>
    </row>
    <row r="16" spans="8:25">
      <c r="H16" s="95"/>
      <c r="I16" s="25" t="s">
        <v>41</v>
      </c>
      <c r="J16" s="81" t="s">
        <v>112</v>
      </c>
      <c r="K16" s="228"/>
      <c r="L16" s="227">
        <f>+K16*3</f>
        <v>0</v>
      </c>
      <c r="M16" s="164"/>
      <c r="N16" s="163">
        <f>+M16*3</f>
        <v>0</v>
      </c>
      <c r="O16" s="28">
        <v>36</v>
      </c>
      <c r="P16" s="75">
        <f t="shared" si="2"/>
        <v>150</v>
      </c>
      <c r="Q16" s="218"/>
      <c r="R16" s="11">
        <f t="shared" si="1"/>
        <v>150</v>
      </c>
      <c r="S16" s="107"/>
      <c r="T16" s="5"/>
      <c r="U16" s="261">
        <v>720</v>
      </c>
      <c r="V16" s="256">
        <f>+V15*U16/U15</f>
        <v>85.605517241379317</v>
      </c>
      <c r="W16" s="257">
        <f>+U16-V16</f>
        <v>634.39448275862071</v>
      </c>
      <c r="X16" s="37"/>
    </row>
    <row r="17" spans="1:29">
      <c r="A17" s="215"/>
      <c r="H17" s="83"/>
      <c r="I17" s="126" t="s">
        <v>71</v>
      </c>
      <c r="J17" s="80" t="s">
        <v>139</v>
      </c>
      <c r="K17" s="226"/>
      <c r="L17" s="227">
        <f>5*K17</f>
        <v>0</v>
      </c>
      <c r="M17" s="162"/>
      <c r="N17" s="163">
        <f>5*M17</f>
        <v>0</v>
      </c>
      <c r="O17" s="76">
        <v>29</v>
      </c>
      <c r="P17" s="75">
        <f t="shared" si="2"/>
        <v>150</v>
      </c>
      <c r="Q17" s="217"/>
      <c r="R17" s="11">
        <f t="shared" si="1"/>
        <v>150</v>
      </c>
      <c r="S17" s="106"/>
      <c r="T17" s="5"/>
      <c r="U17" s="32">
        <f>+U15-U16</f>
        <v>150</v>
      </c>
      <c r="V17" s="47"/>
      <c r="W17" s="33"/>
      <c r="X17" s="262" t="s">
        <v>59</v>
      </c>
    </row>
    <row r="18" spans="1:29">
      <c r="A18" s="215"/>
      <c r="H18" s="141"/>
      <c r="I18" s="25" t="s">
        <v>28</v>
      </c>
      <c r="J18" s="81" t="s">
        <v>122</v>
      </c>
      <c r="K18" s="228"/>
      <c r="L18" s="227">
        <f>+K18*3</f>
        <v>0</v>
      </c>
      <c r="M18" s="164"/>
      <c r="N18" s="163">
        <f>+M18*3</f>
        <v>0</v>
      </c>
      <c r="O18" s="74">
        <v>36</v>
      </c>
      <c r="P18" s="75">
        <f t="shared" si="2"/>
        <v>150</v>
      </c>
      <c r="Q18" s="217"/>
      <c r="R18" s="9">
        <f t="shared" si="1"/>
        <v>150</v>
      </c>
      <c r="S18" s="107"/>
      <c r="T18" s="5"/>
      <c r="U18" s="34">
        <v>150</v>
      </c>
      <c r="V18" s="38">
        <f>+U18-U17</f>
        <v>0</v>
      </c>
      <c r="W18" s="39" t="s">
        <v>63</v>
      </c>
      <c r="X18" s="263">
        <f>150-V18</f>
        <v>150</v>
      </c>
    </row>
    <row r="19" spans="1:29">
      <c r="A19" s="215"/>
      <c r="H19" s="141"/>
      <c r="I19" s="25" t="s">
        <v>10</v>
      </c>
      <c r="J19" s="81" t="s">
        <v>191</v>
      </c>
      <c r="K19" s="228"/>
      <c r="L19" s="227">
        <f>3*K19</f>
        <v>0</v>
      </c>
      <c r="M19" s="164">
        <v>7</v>
      </c>
      <c r="N19" s="163">
        <v>0</v>
      </c>
      <c r="O19" s="74"/>
      <c r="P19" s="75">
        <f t="shared" si="2"/>
        <v>0</v>
      </c>
      <c r="Q19" s="217"/>
      <c r="R19" s="9">
        <f t="shared" si="1"/>
        <v>0</v>
      </c>
      <c r="S19" s="107"/>
      <c r="T19" s="5"/>
      <c r="U19" s="10"/>
      <c r="X19" s="37"/>
    </row>
    <row r="20" spans="1:29">
      <c r="A20" s="215"/>
      <c r="H20" s="142"/>
      <c r="I20" s="25" t="s">
        <v>4</v>
      </c>
      <c r="J20" s="81" t="s">
        <v>111</v>
      </c>
      <c r="K20" s="228"/>
      <c r="L20" s="227">
        <v>0</v>
      </c>
      <c r="M20" s="164"/>
      <c r="N20" s="163">
        <v>0</v>
      </c>
      <c r="O20" s="28">
        <v>28</v>
      </c>
      <c r="P20" s="75">
        <f t="shared" si="2"/>
        <v>150</v>
      </c>
      <c r="Q20" s="218"/>
      <c r="R20" s="11">
        <f t="shared" si="1"/>
        <v>150</v>
      </c>
      <c r="S20" s="107"/>
      <c r="T20" s="5"/>
      <c r="U20" s="58"/>
      <c r="V20" s="59"/>
      <c r="W20" s="60"/>
      <c r="X20" s="61"/>
    </row>
    <row r="21" spans="1:29">
      <c r="A21" s="215"/>
      <c r="H21" s="251" t="s">
        <v>50</v>
      </c>
      <c r="I21" s="252" t="s">
        <v>9</v>
      </c>
      <c r="J21" s="250" t="s">
        <v>128</v>
      </c>
      <c r="K21" s="229"/>
      <c r="L21" s="230">
        <v>0</v>
      </c>
      <c r="M21" s="160"/>
      <c r="N21" s="161">
        <v>0</v>
      </c>
      <c r="O21" s="23">
        <v>35</v>
      </c>
      <c r="P21" s="24">
        <f>IF(O21&gt;25,150,(O21)*6)</f>
        <v>150</v>
      </c>
      <c r="Q21" s="219"/>
      <c r="R21" s="24">
        <f>+L21+N21+P21+Q21</f>
        <v>150</v>
      </c>
      <c r="S21" s="108"/>
      <c r="T21" s="5"/>
      <c r="U21" s="103" t="s">
        <v>161</v>
      </c>
    </row>
    <row r="22" spans="1:29">
      <c r="A22" s="215"/>
      <c r="H22" s="251" t="s">
        <v>50</v>
      </c>
      <c r="I22" s="252" t="s">
        <v>236</v>
      </c>
      <c r="J22" s="250" t="s">
        <v>235</v>
      </c>
      <c r="K22" s="229"/>
      <c r="L22" s="230">
        <v>0</v>
      </c>
      <c r="M22" s="160">
        <v>9</v>
      </c>
      <c r="N22" s="161">
        <v>0</v>
      </c>
      <c r="O22" s="23"/>
      <c r="P22" s="24">
        <f t="shared" si="2"/>
        <v>0</v>
      </c>
      <c r="Q22" s="219"/>
      <c r="R22" s="24">
        <f t="shared" si="1"/>
        <v>0</v>
      </c>
      <c r="S22" s="108"/>
      <c r="T22" s="5"/>
      <c r="U22" s="176" t="s">
        <v>158</v>
      </c>
      <c r="V22" s="177" t="s">
        <v>159</v>
      </c>
      <c r="W22" s="178"/>
      <c r="X22" s="174" t="s">
        <v>157</v>
      </c>
    </row>
    <row r="23" spans="1:29">
      <c r="A23" s="237"/>
      <c r="B23" s="237"/>
      <c r="C23" s="237"/>
      <c r="D23" s="238"/>
      <c r="E23" s="237"/>
      <c r="F23" s="239"/>
      <c r="G23" s="237"/>
      <c r="H23" s="142"/>
      <c r="I23" s="25" t="s">
        <v>51</v>
      </c>
      <c r="J23" s="96" t="s">
        <v>134</v>
      </c>
      <c r="K23" s="29"/>
      <c r="L23" s="27">
        <f>+K23*3</f>
        <v>0</v>
      </c>
      <c r="M23" s="164"/>
      <c r="N23" s="163">
        <f>+M23*3</f>
        <v>0</v>
      </c>
      <c r="O23" s="28"/>
      <c r="P23" s="11">
        <f t="shared" si="2"/>
        <v>0</v>
      </c>
      <c r="Q23" s="218"/>
      <c r="R23" s="240">
        <f t="shared" si="1"/>
        <v>0</v>
      </c>
      <c r="S23" s="241"/>
      <c r="T23" s="5"/>
      <c r="U23" s="176" t="s">
        <v>158</v>
      </c>
      <c r="V23" s="177" t="s">
        <v>159</v>
      </c>
      <c r="W23" s="178"/>
      <c r="X23" s="174" t="s">
        <v>157</v>
      </c>
    </row>
    <row r="24" spans="1:29">
      <c r="A24" s="215"/>
      <c r="H24" s="83"/>
      <c r="I24" s="126" t="s">
        <v>61</v>
      </c>
      <c r="J24" s="80" t="s">
        <v>137</v>
      </c>
      <c r="K24" s="226"/>
      <c r="L24" s="227">
        <f>3*K24</f>
        <v>0</v>
      </c>
      <c r="M24" s="162">
        <v>12</v>
      </c>
      <c r="N24" s="163">
        <v>0</v>
      </c>
      <c r="O24" s="72"/>
      <c r="P24" s="75">
        <f t="shared" si="2"/>
        <v>0</v>
      </c>
      <c r="Q24" s="217">
        <v>20</v>
      </c>
      <c r="R24" s="11">
        <f t="shared" si="1"/>
        <v>20</v>
      </c>
      <c r="S24" s="106"/>
      <c r="T24" s="5"/>
      <c r="U24" s="179">
        <v>43480</v>
      </c>
      <c r="V24" s="170">
        <v>1</v>
      </c>
      <c r="W24" s="180"/>
      <c r="X24" s="33" t="s">
        <v>156</v>
      </c>
    </row>
    <row r="25" spans="1:29">
      <c r="A25" s="215"/>
      <c r="H25" s="83"/>
      <c r="I25" s="25" t="s">
        <v>14</v>
      </c>
      <c r="J25" s="96" t="s">
        <v>125</v>
      </c>
      <c r="K25" s="228"/>
      <c r="L25" s="227">
        <f>+K25*3</f>
        <v>0</v>
      </c>
      <c r="M25" s="164"/>
      <c r="N25" s="163">
        <v>0</v>
      </c>
      <c r="O25" s="74">
        <v>31</v>
      </c>
      <c r="P25" s="75">
        <f t="shared" si="2"/>
        <v>150</v>
      </c>
      <c r="Q25" s="218"/>
      <c r="R25" s="11">
        <f t="shared" si="1"/>
        <v>150</v>
      </c>
      <c r="S25" s="107"/>
      <c r="T25" s="5"/>
      <c r="U25" s="179">
        <f>1+U24</f>
        <v>43481</v>
      </c>
      <c r="V25" s="170">
        <v>1</v>
      </c>
      <c r="W25" s="181"/>
      <c r="X25" s="33" t="s">
        <v>151</v>
      </c>
    </row>
    <row r="26" spans="1:29">
      <c r="A26" s="215"/>
      <c r="H26" s="83"/>
      <c r="I26" s="126" t="s">
        <v>79</v>
      </c>
      <c r="J26" s="82" t="s">
        <v>110</v>
      </c>
      <c r="K26" s="228"/>
      <c r="L26" s="227">
        <v>0</v>
      </c>
      <c r="M26" s="164"/>
      <c r="N26" s="163">
        <f>3*M26</f>
        <v>0</v>
      </c>
      <c r="O26" s="76">
        <v>46</v>
      </c>
      <c r="P26" s="75">
        <f t="shared" si="2"/>
        <v>150</v>
      </c>
      <c r="Q26" s="217"/>
      <c r="R26" s="11">
        <f t="shared" si="1"/>
        <v>150</v>
      </c>
      <c r="S26" s="106"/>
      <c r="T26" s="5"/>
      <c r="U26" s="179">
        <f>1+U25</f>
        <v>43482</v>
      </c>
      <c r="V26" s="170">
        <v>1</v>
      </c>
      <c r="W26" s="182"/>
      <c r="X26" s="33" t="s">
        <v>152</v>
      </c>
    </row>
    <row r="27" spans="1:29">
      <c r="H27" s="247" t="s">
        <v>50</v>
      </c>
      <c r="I27" s="248" t="s">
        <v>214</v>
      </c>
      <c r="J27" s="249" t="s">
        <v>215</v>
      </c>
      <c r="K27" s="229"/>
      <c r="L27" s="230">
        <v>0</v>
      </c>
      <c r="M27" s="160">
        <v>13</v>
      </c>
      <c r="N27" s="161">
        <v>0</v>
      </c>
      <c r="O27" s="192"/>
      <c r="P27" s="193">
        <f t="shared" si="2"/>
        <v>0</v>
      </c>
      <c r="Q27" s="221"/>
      <c r="R27" s="193">
        <f t="shared" si="1"/>
        <v>0</v>
      </c>
      <c r="S27" s="108"/>
      <c r="T27" s="5"/>
      <c r="U27" s="179">
        <f>1+U26</f>
        <v>43483</v>
      </c>
      <c r="V27" s="170">
        <v>1</v>
      </c>
      <c r="W27" s="181"/>
      <c r="X27" s="33" t="s">
        <v>153</v>
      </c>
    </row>
    <row r="28" spans="1:29">
      <c r="A28" s="216"/>
      <c r="B28" s="4"/>
      <c r="C28" s="4"/>
      <c r="D28" s="3"/>
      <c r="E28" s="4"/>
      <c r="F28" s="40"/>
      <c r="G28" s="4"/>
      <c r="H28" s="83"/>
      <c r="I28" s="25" t="s">
        <v>0</v>
      </c>
      <c r="J28" s="81" t="s">
        <v>108</v>
      </c>
      <c r="K28" s="228"/>
      <c r="L28" s="227">
        <f>+K28*5</f>
        <v>0</v>
      </c>
      <c r="M28" s="164"/>
      <c r="N28" s="163">
        <f>+M28*5</f>
        <v>0</v>
      </c>
      <c r="O28" s="74"/>
      <c r="P28" s="75">
        <v>0</v>
      </c>
      <c r="Q28" s="217"/>
      <c r="R28" s="9">
        <f t="shared" si="1"/>
        <v>0</v>
      </c>
      <c r="S28" s="107"/>
      <c r="T28" s="5"/>
      <c r="U28" s="179">
        <f>1+U27</f>
        <v>43484</v>
      </c>
      <c r="V28" s="170">
        <v>0.5</v>
      </c>
      <c r="W28" s="183"/>
      <c r="X28" s="33" t="s">
        <v>154</v>
      </c>
    </row>
    <row r="29" spans="1:29">
      <c r="A29" s="237"/>
      <c r="B29" s="237"/>
      <c r="C29" s="237"/>
      <c r="D29" s="238"/>
      <c r="E29" s="237"/>
      <c r="F29" s="239"/>
      <c r="G29" s="237"/>
      <c r="H29" s="142"/>
      <c r="I29" s="25" t="s">
        <v>45</v>
      </c>
      <c r="J29" s="96" t="s">
        <v>133</v>
      </c>
      <c r="K29" s="29"/>
      <c r="L29" s="27">
        <f>+K29*3</f>
        <v>0</v>
      </c>
      <c r="M29" s="164"/>
      <c r="N29" s="163">
        <f>+M29*3</f>
        <v>0</v>
      </c>
      <c r="O29" s="28">
        <v>25</v>
      </c>
      <c r="P29" s="11">
        <f t="shared" ref="P29:P42" si="3">IF(O29&gt;25,150,(O29)*6)</f>
        <v>150</v>
      </c>
      <c r="Q29" s="218"/>
      <c r="R29" s="240">
        <f t="shared" si="1"/>
        <v>150</v>
      </c>
      <c r="S29" s="241"/>
      <c r="T29" s="5"/>
      <c r="U29" s="184"/>
      <c r="V29" s="170">
        <f>SUM(V24:V28)</f>
        <v>4.5</v>
      </c>
      <c r="W29" s="183" t="s">
        <v>148</v>
      </c>
      <c r="X29" s="175" t="s">
        <v>155</v>
      </c>
    </row>
    <row r="30" spans="1:29">
      <c r="A30" s="215"/>
      <c r="H30" s="251" t="s">
        <v>50</v>
      </c>
      <c r="I30" s="252" t="s">
        <v>13</v>
      </c>
      <c r="J30" s="250" t="s">
        <v>121</v>
      </c>
      <c r="K30" s="229"/>
      <c r="L30" s="230">
        <f>3*K30</f>
        <v>0</v>
      </c>
      <c r="M30" s="160">
        <v>7</v>
      </c>
      <c r="N30" s="161">
        <v>0</v>
      </c>
      <c r="O30" s="23"/>
      <c r="P30" s="24">
        <f t="shared" si="3"/>
        <v>0</v>
      </c>
      <c r="Q30" s="219"/>
      <c r="R30" s="24">
        <f t="shared" si="1"/>
        <v>0</v>
      </c>
      <c r="S30" s="108"/>
      <c r="T30" s="5"/>
      <c r="U30" s="184"/>
      <c r="V30" s="171">
        <v>18</v>
      </c>
      <c r="W30" s="185" t="s">
        <v>149</v>
      </c>
      <c r="X30" s="61"/>
    </row>
    <row r="31" spans="1:29" ht="16.5">
      <c r="A31" s="215"/>
      <c r="H31" s="83"/>
      <c r="I31" s="25" t="s">
        <v>31</v>
      </c>
      <c r="J31" s="81" t="s">
        <v>127</v>
      </c>
      <c r="K31" s="228"/>
      <c r="L31" s="227">
        <v>0</v>
      </c>
      <c r="M31" s="164"/>
      <c r="N31" s="163">
        <v>0</v>
      </c>
      <c r="O31" s="74">
        <v>39</v>
      </c>
      <c r="P31" s="75">
        <f t="shared" si="3"/>
        <v>150</v>
      </c>
      <c r="Q31" s="218"/>
      <c r="R31" s="11">
        <f t="shared" si="1"/>
        <v>150</v>
      </c>
      <c r="S31" s="107"/>
      <c r="T31" s="5"/>
      <c r="U31" s="186" t="s">
        <v>160</v>
      </c>
      <c r="V31" s="172">
        <f>+V30/V29</f>
        <v>4</v>
      </c>
      <c r="W31" s="173" t="s">
        <v>150</v>
      </c>
      <c r="X31" s="61"/>
    </row>
    <row r="32" spans="1:29">
      <c r="A32" s="215"/>
      <c r="H32" s="83"/>
      <c r="I32" s="25" t="s">
        <v>30</v>
      </c>
      <c r="J32" s="81" t="s">
        <v>126</v>
      </c>
      <c r="K32" s="228"/>
      <c r="L32" s="227">
        <f>+K32*3</f>
        <v>0</v>
      </c>
      <c r="M32" s="164"/>
      <c r="N32" s="163">
        <f>+M32*3</f>
        <v>0</v>
      </c>
      <c r="O32" s="28">
        <v>40</v>
      </c>
      <c r="P32" s="11">
        <f t="shared" si="3"/>
        <v>150</v>
      </c>
      <c r="Q32" s="218"/>
      <c r="R32" s="11">
        <f t="shared" si="1"/>
        <v>150</v>
      </c>
      <c r="S32" s="107"/>
      <c r="T32" s="5"/>
      <c r="U32" s="58"/>
      <c r="V32" s="59"/>
      <c r="W32" s="60"/>
      <c r="X32" s="65"/>
      <c r="AC32">
        <v>4</v>
      </c>
    </row>
    <row r="33" spans="1:29">
      <c r="A33" s="215"/>
      <c r="H33" s="247" t="s">
        <v>50</v>
      </c>
      <c r="I33" s="248" t="s">
        <v>186</v>
      </c>
      <c r="J33" s="249" t="s">
        <v>187</v>
      </c>
      <c r="K33" s="229"/>
      <c r="L33" s="230">
        <v>0</v>
      </c>
      <c r="M33" s="160">
        <v>10</v>
      </c>
      <c r="N33" s="161">
        <v>0</v>
      </c>
      <c r="O33" s="192"/>
      <c r="P33" s="193">
        <f t="shared" si="3"/>
        <v>0</v>
      </c>
      <c r="Q33" s="221"/>
      <c r="R33" s="193">
        <f t="shared" si="1"/>
        <v>0</v>
      </c>
      <c r="S33" s="108"/>
      <c r="T33" s="5"/>
      <c r="U33" s="58"/>
      <c r="V33" s="66"/>
      <c r="W33" s="67"/>
      <c r="X33" s="66"/>
      <c r="Z33">
        <v>186.44069999999999</v>
      </c>
      <c r="AA33">
        <f>+Z33*0.18</f>
        <v>33.559325999999999</v>
      </c>
      <c r="AB33">
        <f>+Z33+AA33</f>
        <v>220.00002599999999</v>
      </c>
      <c r="AC33">
        <f>+AB33*AC32</f>
        <v>880.00010399999996</v>
      </c>
    </row>
    <row r="34" spans="1:29" s="4" customFormat="1">
      <c r="A34" s="215"/>
      <c r="B34"/>
      <c r="C34"/>
      <c r="D34" s="1"/>
      <c r="E34"/>
      <c r="F34" s="2"/>
      <c r="G34"/>
      <c r="H34" s="83"/>
      <c r="I34" s="25" t="s">
        <v>17</v>
      </c>
      <c r="J34" s="81" t="s">
        <v>123</v>
      </c>
      <c r="K34" s="228"/>
      <c r="L34" s="227">
        <f>+K34*3</f>
        <v>0</v>
      </c>
      <c r="M34" s="164"/>
      <c r="N34" s="163">
        <f>+M34*3</f>
        <v>0</v>
      </c>
      <c r="O34" s="74">
        <v>34</v>
      </c>
      <c r="P34" s="75">
        <f t="shared" si="3"/>
        <v>150</v>
      </c>
      <c r="Q34" s="218"/>
      <c r="R34" s="11">
        <f t="shared" si="1"/>
        <v>150</v>
      </c>
      <c r="S34" s="107"/>
      <c r="T34" s="5"/>
      <c r="U34" s="64"/>
      <c r="V34" s="59"/>
      <c r="W34" s="60"/>
      <c r="X34" s="68"/>
      <c r="Z34" s="4">
        <v>206.44069999999999</v>
      </c>
      <c r="AA34">
        <f>+Z34*0.18</f>
        <v>37.159326</v>
      </c>
      <c r="AB34">
        <f>+Z34+AA34</f>
        <v>243.60002599999999</v>
      </c>
      <c r="AC34" s="4">
        <f>+AB34*AC32</f>
        <v>974.40010399999994</v>
      </c>
    </row>
    <row r="35" spans="1:29">
      <c r="A35" s="215"/>
      <c r="H35" s="83"/>
      <c r="I35" s="25" t="s">
        <v>60</v>
      </c>
      <c r="J35" s="81" t="s">
        <v>132</v>
      </c>
      <c r="K35" s="228"/>
      <c r="L35" s="227">
        <v>0</v>
      </c>
      <c r="M35" s="164"/>
      <c r="N35" s="163">
        <v>0</v>
      </c>
      <c r="O35" s="74"/>
      <c r="P35" s="75">
        <f>IF(O35&gt;25,150,(O35)*6)</f>
        <v>0</v>
      </c>
      <c r="Q35" s="218"/>
      <c r="R35" s="11">
        <f>+L35+N35+P35+Q35</f>
        <v>0</v>
      </c>
      <c r="S35" s="107"/>
      <c r="T35" s="5"/>
      <c r="U35" s="58"/>
      <c r="V35" s="59"/>
      <c r="W35" s="60"/>
      <c r="X35" s="69"/>
      <c r="Z35">
        <f>+Z34-Z33</f>
        <v>20</v>
      </c>
      <c r="AA35">
        <f>+AA34-AA33</f>
        <v>3.6000000000000014</v>
      </c>
      <c r="AB35">
        <f>+AB34-AB33</f>
        <v>23.599999999999994</v>
      </c>
      <c r="AC35">
        <f>+AB35*AC32</f>
        <v>94.399999999999977</v>
      </c>
    </row>
    <row r="36" spans="1:29">
      <c r="H36" s="251" t="s">
        <v>50</v>
      </c>
      <c r="I36" s="252" t="s">
        <v>233</v>
      </c>
      <c r="J36" s="250" t="s">
        <v>234</v>
      </c>
      <c r="K36" s="229"/>
      <c r="L36" s="230">
        <v>0</v>
      </c>
      <c r="M36" s="160">
        <v>11</v>
      </c>
      <c r="N36" s="161">
        <v>0</v>
      </c>
      <c r="O36" s="23"/>
      <c r="P36" s="24">
        <f t="shared" si="3"/>
        <v>0</v>
      </c>
      <c r="Q36" s="219"/>
      <c r="R36" s="24">
        <f t="shared" si="1"/>
        <v>0</v>
      </c>
      <c r="S36" s="108"/>
      <c r="T36" s="5"/>
      <c r="U36" s="58"/>
      <c r="V36" s="59"/>
      <c r="W36" s="60"/>
      <c r="X36" s="65"/>
    </row>
    <row r="37" spans="1:29">
      <c r="A37" s="215"/>
      <c r="H37" s="142"/>
      <c r="I37" s="25" t="s">
        <v>8</v>
      </c>
      <c r="J37" s="81" t="s">
        <v>120</v>
      </c>
      <c r="K37" s="228"/>
      <c r="L37" s="227">
        <v>0</v>
      </c>
      <c r="M37" s="164"/>
      <c r="N37" s="163">
        <v>0</v>
      </c>
      <c r="O37" s="28">
        <v>30</v>
      </c>
      <c r="P37" s="75">
        <f t="shared" si="3"/>
        <v>150</v>
      </c>
      <c r="Q37" s="218"/>
      <c r="R37" s="57">
        <f t="shared" si="1"/>
        <v>150</v>
      </c>
      <c r="S37" s="107"/>
      <c r="T37" s="5"/>
      <c r="U37" s="58"/>
      <c r="V37" s="59"/>
      <c r="W37" s="60"/>
    </row>
    <row r="38" spans="1:29">
      <c r="A38" s="215"/>
      <c r="H38" s="83"/>
      <c r="I38" s="25" t="s">
        <v>11</v>
      </c>
      <c r="J38" s="96" t="s">
        <v>130</v>
      </c>
      <c r="K38" s="228"/>
      <c r="L38" s="227">
        <f>+K38*3</f>
        <v>0</v>
      </c>
      <c r="M38" s="164"/>
      <c r="N38" s="163">
        <f>+M38*3</f>
        <v>0</v>
      </c>
      <c r="O38" s="74">
        <v>1</v>
      </c>
      <c r="P38" s="75">
        <f t="shared" si="3"/>
        <v>6</v>
      </c>
      <c r="Q38" s="220"/>
      <c r="R38" s="11">
        <f t="shared" si="1"/>
        <v>6</v>
      </c>
      <c r="S38" s="107"/>
      <c r="T38" s="5"/>
      <c r="U38" s="58"/>
      <c r="V38" s="59"/>
      <c r="W38" s="60"/>
      <c r="X38" s="61"/>
    </row>
    <row r="39" spans="1:29">
      <c r="H39" s="83"/>
      <c r="I39" s="25" t="s">
        <v>44</v>
      </c>
      <c r="J39" s="96" t="s">
        <v>124</v>
      </c>
      <c r="K39" s="228"/>
      <c r="L39" s="227">
        <f>+K39*3</f>
        <v>0</v>
      </c>
      <c r="M39" s="164"/>
      <c r="N39" s="163">
        <f>+M39*3</f>
        <v>0</v>
      </c>
      <c r="O39" s="113"/>
      <c r="P39" s="75">
        <f t="shared" si="3"/>
        <v>0</v>
      </c>
      <c r="Q39" s="218"/>
      <c r="R39" s="11">
        <f t="shared" si="1"/>
        <v>0</v>
      </c>
      <c r="S39" s="107"/>
      <c r="T39" s="5"/>
      <c r="U39" s="58"/>
      <c r="V39" s="59"/>
      <c r="W39" s="62"/>
      <c r="X39" s="63"/>
    </row>
    <row r="40" spans="1:29">
      <c r="H40" s="244"/>
      <c r="I40" s="25" t="s">
        <v>6</v>
      </c>
      <c r="J40" s="96" t="s">
        <v>116</v>
      </c>
      <c r="K40" s="228"/>
      <c r="L40" s="227">
        <f>+K40*3</f>
        <v>0</v>
      </c>
      <c r="M40" s="164"/>
      <c r="N40" s="163">
        <f>+M40*3</f>
        <v>0</v>
      </c>
      <c r="O40" s="74">
        <v>24</v>
      </c>
      <c r="P40" s="75">
        <f t="shared" si="3"/>
        <v>144</v>
      </c>
      <c r="Q40" s="220"/>
      <c r="R40" s="11">
        <f t="shared" si="1"/>
        <v>144</v>
      </c>
      <c r="S40" s="107"/>
      <c r="T40" s="243"/>
      <c r="U40" s="246" t="s">
        <v>226</v>
      </c>
      <c r="V40" s="245"/>
      <c r="W40" s="67"/>
      <c r="X40" s="66"/>
    </row>
    <row r="41" spans="1:29">
      <c r="H41" s="95"/>
      <c r="I41" s="25" t="s">
        <v>53</v>
      </c>
      <c r="J41" s="81" t="s">
        <v>135</v>
      </c>
      <c r="K41" s="228"/>
      <c r="L41" s="227">
        <v>0</v>
      </c>
      <c r="M41" s="164"/>
      <c r="N41" s="163">
        <v>0</v>
      </c>
      <c r="O41" s="28"/>
      <c r="P41" s="75">
        <f t="shared" si="3"/>
        <v>0</v>
      </c>
      <c r="Q41" s="218"/>
      <c r="R41" s="11">
        <f t="shared" si="1"/>
        <v>0</v>
      </c>
      <c r="S41" s="107"/>
      <c r="W41" s="60"/>
      <c r="X41" s="65"/>
    </row>
    <row r="42" spans="1:29">
      <c r="H42" s="81"/>
      <c r="I42" s="120" t="s">
        <v>12</v>
      </c>
      <c r="J42" s="150" t="s">
        <v>114</v>
      </c>
      <c r="K42" s="232"/>
      <c r="L42" s="233">
        <v>0</v>
      </c>
      <c r="M42" s="165">
        <v>9</v>
      </c>
      <c r="N42" s="166">
        <v>0</v>
      </c>
      <c r="O42" s="122"/>
      <c r="P42" s="147">
        <f t="shared" si="3"/>
        <v>0</v>
      </c>
      <c r="Q42" s="222"/>
      <c r="R42" s="124">
        <f t="shared" si="1"/>
        <v>0</v>
      </c>
      <c r="S42" s="148"/>
      <c r="T42" s="5"/>
      <c r="U42" s="58"/>
      <c r="V42" s="59"/>
      <c r="W42" s="60"/>
      <c r="X42" s="65"/>
    </row>
    <row r="43" spans="1:29">
      <c r="I43" s="13"/>
      <c r="J43" s="14"/>
      <c r="K43" s="234">
        <f t="shared" ref="K43:S43" si="4">SUM(K5:K42)</f>
        <v>0</v>
      </c>
      <c r="L43" s="235">
        <f t="shared" si="4"/>
        <v>0</v>
      </c>
      <c r="M43" s="167">
        <f t="shared" si="4"/>
        <v>78</v>
      </c>
      <c r="N43" s="168">
        <f t="shared" si="4"/>
        <v>0</v>
      </c>
      <c r="O43" s="77">
        <f t="shared" si="4"/>
        <v>681</v>
      </c>
      <c r="P43" s="78">
        <f t="shared" si="4"/>
        <v>3000</v>
      </c>
      <c r="Q43" s="223">
        <f t="shared" si="4"/>
        <v>20</v>
      </c>
      <c r="R43" s="78">
        <f t="shared" si="4"/>
        <v>3020</v>
      </c>
      <c r="S43" s="102">
        <f t="shared" si="4"/>
        <v>0</v>
      </c>
      <c r="T43" s="5"/>
      <c r="U43" s="58"/>
      <c r="V43" s="59"/>
      <c r="W43" s="60"/>
      <c r="X43" s="61"/>
    </row>
    <row r="44" spans="1:29">
      <c r="J44" s="200">
        <f ca="1">TODAY()</f>
        <v>43825</v>
      </c>
      <c r="K44" s="41"/>
      <c r="M44" s="42"/>
      <c r="N44" s="41"/>
      <c r="O44" s="45" t="s">
        <v>81</v>
      </c>
      <c r="Q44" s="42"/>
      <c r="R44" s="45">
        <f>+R10+R22+R27+R30+R33+R21+R36</f>
        <v>150</v>
      </c>
      <c r="T44" s="5"/>
      <c r="U44" s="58"/>
      <c r="V44" s="59"/>
      <c r="W44" s="60"/>
      <c r="X44" s="61"/>
    </row>
    <row r="45" spans="1:29">
      <c r="L45" s="43"/>
      <c r="M45" s="44"/>
      <c r="N45" s="125"/>
      <c r="O45" s="43" t="s">
        <v>91</v>
      </c>
      <c r="P45" s="114"/>
      <c r="Q45" s="110" t="s">
        <v>58</v>
      </c>
      <c r="R45" s="111">
        <f>+R43-R44</f>
        <v>2870</v>
      </c>
      <c r="S45" s="109"/>
      <c r="T45" s="5"/>
      <c r="U45" s="58"/>
      <c r="V45" s="59"/>
      <c r="W45" s="60"/>
      <c r="X45" s="65"/>
    </row>
    <row r="46" spans="1:29">
      <c r="P46" s="19"/>
      <c r="U46" s="58"/>
      <c r="V46" s="59"/>
      <c r="W46" s="62"/>
      <c r="X46" s="60"/>
    </row>
    <row r="47" spans="1:29" ht="3.95" customHeight="1">
      <c r="I47" s="254" t="s">
        <v>237</v>
      </c>
      <c r="P47" s="19"/>
      <c r="U47" s="58"/>
      <c r="V47" s="59"/>
      <c r="W47" s="62"/>
      <c r="X47" s="60"/>
    </row>
    <row r="48" spans="1:29">
      <c r="I48" s="255" t="s">
        <v>244</v>
      </c>
      <c r="P48" s="19"/>
      <c r="U48" s="64"/>
      <c r="V48" s="59"/>
      <c r="W48" s="60"/>
      <c r="X48" s="68"/>
    </row>
    <row r="49" spans="9:24">
      <c r="I49" s="254" t="s">
        <v>238</v>
      </c>
      <c r="P49" s="19"/>
      <c r="U49" s="58"/>
      <c r="V49" s="66"/>
      <c r="W49" s="67"/>
      <c r="X49" s="69"/>
    </row>
    <row r="50" spans="9:24">
      <c r="I50" s="254" t="s">
        <v>239</v>
      </c>
      <c r="P50" s="19"/>
      <c r="U50" s="60"/>
      <c r="V50" s="59"/>
      <c r="W50" s="60"/>
      <c r="X50" s="60"/>
    </row>
    <row r="51" spans="9:24">
      <c r="I51" s="254" t="s">
        <v>240</v>
      </c>
      <c r="P51" s="19"/>
      <c r="U51" s="60"/>
      <c r="V51" s="59"/>
      <c r="W51" s="60"/>
      <c r="X51" s="60"/>
    </row>
    <row r="52" spans="9:24">
      <c r="I52" s="254" t="s">
        <v>241</v>
      </c>
      <c r="U52" s="60"/>
      <c r="V52" s="59"/>
      <c r="W52" s="60"/>
      <c r="X52" s="60"/>
    </row>
    <row r="53" spans="9:24">
      <c r="I53" s="254" t="s">
        <v>242</v>
      </c>
      <c r="P53" s="19"/>
      <c r="U53" s="60"/>
      <c r="V53" s="59"/>
      <c r="W53" s="60"/>
      <c r="X53" s="60"/>
    </row>
    <row r="54" spans="9:24">
      <c r="I54" s="254" t="s">
        <v>243</v>
      </c>
      <c r="P54" s="19"/>
      <c r="U54" s="60"/>
      <c r="V54" s="59"/>
      <c r="W54" s="60"/>
      <c r="X54" s="60"/>
    </row>
    <row r="55" spans="9:24" ht="3.95" customHeight="1">
      <c r="U55" s="60"/>
      <c r="V55" s="59"/>
      <c r="W55" s="60"/>
      <c r="X55" s="60"/>
    </row>
    <row r="56" spans="9:24">
      <c r="U56" s="60"/>
      <c r="V56" s="59"/>
      <c r="W56" s="60"/>
      <c r="X56" s="60"/>
    </row>
  </sheetData>
  <mergeCells count="4">
    <mergeCell ref="I2:R2"/>
    <mergeCell ref="K3:N3"/>
    <mergeCell ref="O3:P3"/>
    <mergeCell ref="T3:V3"/>
  </mergeCells>
  <conditionalFormatting sqref="R5">
    <cfRule type="cellIs" dxfId="44" priority="3" operator="lessThanOrEqual">
      <formula>0</formula>
    </cfRule>
  </conditionalFormatting>
  <conditionalFormatting sqref="R5:R42">
    <cfRule type="cellIs" dxfId="43" priority="2" operator="greaterThan">
      <formula>0</formula>
    </cfRule>
  </conditionalFormatting>
  <printOptions horizontalCentered="1"/>
  <pageMargins left="0" right="0" top="0.82677165354330717" bottom="0" header="0" footer="0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55"/>
  <sheetViews>
    <sheetView zoomScale="85" zoomScaleNormal="85" workbookViewId="0">
      <pane xSplit="10" ySplit="4" topLeftCell="K44" activePane="bottomRight" state="frozen"/>
      <selection pane="topRight" activeCell="K1" sqref="K1"/>
      <selection pane="bottomLeft" activeCell="A5" sqref="A5"/>
      <selection pane="bottomRight" activeCell="A78" sqref="A78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5.42578125" customWidth="1"/>
    <col min="9" max="9" width="7.7109375" customWidth="1"/>
    <col min="10" max="10" width="23" customWidth="1"/>
    <col min="11" max="11" width="4.7109375" customWidth="1"/>
    <col min="12" max="12" width="5.7109375" customWidth="1"/>
    <col min="13" max="13" width="6.140625" customWidth="1"/>
    <col min="14" max="14" width="11.28515625" customWidth="1"/>
    <col min="15" max="15" width="6.140625" customWidth="1"/>
    <col min="16" max="16" width="11.42578125" customWidth="1"/>
    <col min="17" max="17" width="6.7109375" customWidth="1"/>
    <col min="18" max="18" width="13.85546875" customWidth="1"/>
    <col min="19" max="19" width="5.710937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4" ht="5.0999999999999996" customHeight="1"/>
    <row r="2" spans="8:24">
      <c r="H2" s="83"/>
      <c r="I2" s="439" t="s">
        <v>223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4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4" ht="42.75" customHeight="1">
      <c r="H4" s="83" t="s">
        <v>143</v>
      </c>
      <c r="I4" s="86" t="s">
        <v>7</v>
      </c>
      <c r="J4" s="86" t="s">
        <v>3</v>
      </c>
      <c r="K4" s="225" t="s">
        <v>15</v>
      </c>
      <c r="L4" s="225" t="s">
        <v>208</v>
      </c>
      <c r="M4" s="225" t="s">
        <v>15</v>
      </c>
      <c r="N4" s="225" t="s">
        <v>216</v>
      </c>
      <c r="O4" s="87" t="s">
        <v>15</v>
      </c>
      <c r="P4" s="87" t="s">
        <v>224</v>
      </c>
      <c r="Q4" s="99" t="s">
        <v>225</v>
      </c>
      <c r="R4" s="88" t="s">
        <v>103</v>
      </c>
      <c r="S4" s="139" t="s">
        <v>104</v>
      </c>
      <c r="T4" s="89"/>
      <c r="U4" s="83"/>
      <c r="V4" s="83"/>
    </row>
    <row r="5" spans="8:24">
      <c r="H5" s="83"/>
      <c r="I5" s="126" t="s">
        <v>5</v>
      </c>
      <c r="J5" s="80" t="s">
        <v>117</v>
      </c>
      <c r="K5" s="226"/>
      <c r="L5" s="227">
        <f>+K5*3</f>
        <v>0</v>
      </c>
      <c r="M5" s="226"/>
      <c r="N5" s="227">
        <f>+M5*3</f>
        <v>0</v>
      </c>
      <c r="O5" s="76">
        <v>25</v>
      </c>
      <c r="P5" s="75">
        <f t="shared" ref="P5:P14" si="0">IF(O5&gt;25,150,(O5)*6)</f>
        <v>150</v>
      </c>
      <c r="Q5" s="217"/>
      <c r="R5" s="11">
        <f t="shared" ref="R5:R41" si="1">+L5+N5+P5+Q5</f>
        <v>150</v>
      </c>
      <c r="S5" s="106"/>
      <c r="T5" s="5"/>
      <c r="U5" s="92">
        <v>828</v>
      </c>
      <c r="V5" s="93">
        <v>107.64</v>
      </c>
      <c r="W5" s="94">
        <v>720.36</v>
      </c>
      <c r="X5" s="70" t="s">
        <v>36</v>
      </c>
    </row>
    <row r="6" spans="8:24">
      <c r="H6" s="83"/>
      <c r="I6" s="126" t="s">
        <v>82</v>
      </c>
      <c r="J6" s="80" t="s">
        <v>141</v>
      </c>
      <c r="K6" s="226"/>
      <c r="L6" s="227">
        <f>+K6*3</f>
        <v>0</v>
      </c>
      <c r="M6" s="226"/>
      <c r="N6" s="227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0">
        <f>+V6+W6</f>
        <v>827.58620689655174</v>
      </c>
      <c r="V6" s="71">
        <f>+V5*W6/W5</f>
        <v>107.58620689655173</v>
      </c>
      <c r="W6" s="31">
        <v>720</v>
      </c>
      <c r="X6" s="36"/>
    </row>
    <row r="7" spans="8:24">
      <c r="H7" s="83"/>
      <c r="I7" s="126" t="s">
        <v>64</v>
      </c>
      <c r="J7" s="80" t="s">
        <v>138</v>
      </c>
      <c r="K7" s="226"/>
      <c r="L7" s="227">
        <f>+K7*3</f>
        <v>0</v>
      </c>
      <c r="M7" s="226"/>
      <c r="N7" s="227">
        <v>0</v>
      </c>
      <c r="O7" s="76">
        <v>29</v>
      </c>
      <c r="P7" s="75">
        <f t="shared" si="0"/>
        <v>150</v>
      </c>
      <c r="Q7" s="217"/>
      <c r="R7" s="11">
        <f t="shared" si="1"/>
        <v>150</v>
      </c>
      <c r="S7" s="106"/>
      <c r="T7" s="5"/>
      <c r="U7" s="32">
        <f>+U5-U6</f>
        <v>0.41379310344825626</v>
      </c>
      <c r="V7" s="47"/>
      <c r="W7" s="33"/>
      <c r="X7" s="4" t="s">
        <v>59</v>
      </c>
    </row>
    <row r="8" spans="8:24">
      <c r="H8" s="83"/>
      <c r="I8" s="25" t="s">
        <v>2</v>
      </c>
      <c r="J8" s="81" t="s">
        <v>107</v>
      </c>
      <c r="K8" s="228"/>
      <c r="L8" s="227">
        <f>+K8*3</f>
        <v>0</v>
      </c>
      <c r="M8" s="228"/>
      <c r="N8" s="227">
        <f>+M8*3</f>
        <v>0</v>
      </c>
      <c r="O8" s="74">
        <v>36</v>
      </c>
      <c r="P8" s="75">
        <f t="shared" si="0"/>
        <v>150</v>
      </c>
      <c r="Q8" s="217"/>
      <c r="R8" s="11">
        <f t="shared" si="1"/>
        <v>150</v>
      </c>
      <c r="S8" s="138"/>
      <c r="T8" s="5"/>
      <c r="U8" s="34">
        <v>150</v>
      </c>
      <c r="V8" s="38">
        <f>+U8-U7</f>
        <v>149.58620689655174</v>
      </c>
      <c r="W8" s="39" t="s">
        <v>63</v>
      </c>
      <c r="X8" s="6">
        <f>150-V8</f>
        <v>0.41379310344825626</v>
      </c>
    </row>
    <row r="9" spans="8:24">
      <c r="H9" s="95"/>
      <c r="I9" s="25" t="s">
        <v>42</v>
      </c>
      <c r="J9" s="81" t="s">
        <v>119</v>
      </c>
      <c r="K9" s="228"/>
      <c r="L9" s="227">
        <f>+K9*3</f>
        <v>0</v>
      </c>
      <c r="M9" s="228"/>
      <c r="N9" s="227">
        <f>+M9*3</f>
        <v>0</v>
      </c>
      <c r="O9" s="28">
        <v>25</v>
      </c>
      <c r="P9" s="75">
        <f t="shared" si="0"/>
        <v>150</v>
      </c>
      <c r="Q9" s="218"/>
      <c r="R9" s="11">
        <f t="shared" si="1"/>
        <v>150</v>
      </c>
      <c r="S9" s="107"/>
      <c r="T9" s="5"/>
      <c r="U9" s="10"/>
      <c r="X9" s="37"/>
    </row>
    <row r="10" spans="8:24" ht="15" customHeight="1">
      <c r="H10" s="187" t="s">
        <v>227</v>
      </c>
      <c r="I10" s="188" t="s">
        <v>1</v>
      </c>
      <c r="J10" s="242" t="s">
        <v>106</v>
      </c>
      <c r="K10" s="192"/>
      <c r="L10" s="193">
        <f>3*K10</f>
        <v>0</v>
      </c>
      <c r="M10" s="192"/>
      <c r="N10" s="193">
        <f>3*M10</f>
        <v>0</v>
      </c>
      <c r="O10" s="192"/>
      <c r="P10" s="193">
        <f t="shared" si="0"/>
        <v>0</v>
      </c>
      <c r="Q10" s="221"/>
      <c r="R10" s="193">
        <f t="shared" si="1"/>
        <v>0</v>
      </c>
      <c r="S10" s="197"/>
      <c r="T10" s="5"/>
      <c r="U10" s="92">
        <v>856</v>
      </c>
      <c r="V10" s="93">
        <v>110.51</v>
      </c>
      <c r="W10" s="94">
        <v>745.49</v>
      </c>
      <c r="X10" s="70" t="s">
        <v>35</v>
      </c>
    </row>
    <row r="11" spans="8:24">
      <c r="H11" s="141"/>
      <c r="I11" s="126" t="s">
        <v>56</v>
      </c>
      <c r="J11" s="80" t="s">
        <v>136</v>
      </c>
      <c r="K11" s="226"/>
      <c r="L11" s="227">
        <v>0</v>
      </c>
      <c r="M11" s="226"/>
      <c r="N11" s="227">
        <v>0</v>
      </c>
      <c r="O11" s="74">
        <v>39</v>
      </c>
      <c r="P11" s="75">
        <f t="shared" si="0"/>
        <v>150</v>
      </c>
      <c r="Q11" s="217"/>
      <c r="R11" s="9">
        <f t="shared" si="1"/>
        <v>150</v>
      </c>
      <c r="S11" s="107"/>
      <c r="T11" s="5"/>
      <c r="U11" s="30">
        <f>+V11+W11</f>
        <v>826.7314115548163</v>
      </c>
      <c r="V11" s="71">
        <f>+V10*W11/W10</f>
        <v>106.73141155481629</v>
      </c>
      <c r="W11" s="31">
        <v>720</v>
      </c>
      <c r="X11" s="37"/>
    </row>
    <row r="12" spans="8:24">
      <c r="H12" s="95"/>
      <c r="I12" s="25" t="s">
        <v>16</v>
      </c>
      <c r="J12" s="81" t="s">
        <v>113</v>
      </c>
      <c r="K12" s="228"/>
      <c r="L12" s="227">
        <v>0</v>
      </c>
      <c r="M12" s="228"/>
      <c r="N12" s="227">
        <v>0</v>
      </c>
      <c r="O12" s="28">
        <v>30</v>
      </c>
      <c r="P12" s="75">
        <f t="shared" si="0"/>
        <v>150</v>
      </c>
      <c r="Q12" s="218"/>
      <c r="R12" s="9">
        <f t="shared" si="1"/>
        <v>150</v>
      </c>
      <c r="S12" s="106"/>
      <c r="T12" s="5"/>
      <c r="U12" s="32">
        <f>+U10-U11</f>
        <v>29.268588445183696</v>
      </c>
      <c r="V12" s="47"/>
      <c r="W12" s="33"/>
      <c r="X12" s="4" t="s">
        <v>59</v>
      </c>
    </row>
    <row r="13" spans="8:24">
      <c r="H13" s="83"/>
      <c r="I13" s="25" t="s">
        <v>92</v>
      </c>
      <c r="J13" s="81" t="s">
        <v>109</v>
      </c>
      <c r="K13" s="228"/>
      <c r="L13" s="227">
        <v>0</v>
      </c>
      <c r="M13" s="228"/>
      <c r="N13" s="227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120.7314115548163</v>
      </c>
      <c r="W13" s="39" t="s">
        <v>63</v>
      </c>
      <c r="X13" s="6">
        <f>150-V13</f>
        <v>29.268588445183696</v>
      </c>
    </row>
    <row r="14" spans="8:24">
      <c r="H14" s="95"/>
      <c r="I14" s="25" t="s">
        <v>20</v>
      </c>
      <c r="J14" s="81" t="s">
        <v>195</v>
      </c>
      <c r="K14" s="228"/>
      <c r="L14" s="227">
        <f>+K14*3</f>
        <v>0</v>
      </c>
      <c r="M14" s="228"/>
      <c r="N14" s="227">
        <f>+M14*3</f>
        <v>0</v>
      </c>
      <c r="O14" s="28">
        <v>31</v>
      </c>
      <c r="P14" s="75">
        <f t="shared" si="0"/>
        <v>150</v>
      </c>
      <c r="Q14" s="218"/>
      <c r="R14" s="9">
        <f t="shared" si="1"/>
        <v>150</v>
      </c>
      <c r="S14" s="107"/>
      <c r="T14" s="5"/>
      <c r="U14" s="10"/>
      <c r="X14" s="37"/>
    </row>
    <row r="15" spans="8:24">
      <c r="H15" s="95"/>
      <c r="I15" s="25" t="s">
        <v>69</v>
      </c>
      <c r="J15" s="81" t="s">
        <v>196</v>
      </c>
      <c r="K15" s="228"/>
      <c r="L15" s="227">
        <v>0</v>
      </c>
      <c r="M15" s="228"/>
      <c r="N15" s="227">
        <v>0</v>
      </c>
      <c r="O15" s="28"/>
      <c r="P15" s="75"/>
      <c r="Q15" s="218"/>
      <c r="R15" s="11">
        <f t="shared" si="1"/>
        <v>0</v>
      </c>
      <c r="S15" s="107"/>
      <c r="T15" s="5"/>
      <c r="U15" s="92">
        <f>644+150</f>
        <v>794</v>
      </c>
      <c r="V15" s="93">
        <v>0</v>
      </c>
      <c r="W15" s="101">
        <v>769.08</v>
      </c>
      <c r="X15" s="100" t="s">
        <v>21</v>
      </c>
    </row>
    <row r="16" spans="8:24">
      <c r="H16" s="95"/>
      <c r="I16" s="25" t="s">
        <v>25</v>
      </c>
      <c r="J16" s="81" t="s">
        <v>118</v>
      </c>
      <c r="K16" s="228"/>
      <c r="L16" s="227">
        <f>+K16*3</f>
        <v>0</v>
      </c>
      <c r="M16" s="228"/>
      <c r="N16" s="227">
        <f>+M16*3</f>
        <v>0</v>
      </c>
      <c r="O16" s="28">
        <v>1</v>
      </c>
      <c r="P16" s="75">
        <f t="shared" ref="P16:P27" si="2">IF(O16&gt;25,150,(O16)*6)</f>
        <v>6</v>
      </c>
      <c r="Q16" s="218"/>
      <c r="R16" s="11">
        <f t="shared" si="1"/>
        <v>6</v>
      </c>
      <c r="S16" s="107"/>
      <c r="T16" s="5"/>
      <c r="U16" s="30">
        <f>+V16+W16</f>
        <v>720</v>
      </c>
      <c r="V16" s="71">
        <f>+V15*W16/W15</f>
        <v>0</v>
      </c>
      <c r="W16" s="31">
        <v>720</v>
      </c>
      <c r="X16" s="37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228"/>
      <c r="N17" s="227">
        <f>+M17*3</f>
        <v>0</v>
      </c>
      <c r="O17" s="28">
        <v>29</v>
      </c>
      <c r="P17" s="75">
        <f t="shared" si="2"/>
        <v>150</v>
      </c>
      <c r="Q17" s="218"/>
      <c r="R17" s="11">
        <f t="shared" si="1"/>
        <v>150</v>
      </c>
      <c r="S17" s="107"/>
      <c r="T17" s="5"/>
      <c r="U17" s="32">
        <f>+U15-U16</f>
        <v>74</v>
      </c>
      <c r="V17" s="47"/>
      <c r="W17" s="33"/>
      <c r="X17" s="4" t="s">
        <v>59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226"/>
      <c r="N18" s="227">
        <f>5*M18</f>
        <v>0</v>
      </c>
      <c r="O18" s="76">
        <v>27</v>
      </c>
      <c r="P18" s="75">
        <f t="shared" si="2"/>
        <v>150</v>
      </c>
      <c r="Q18" s="217"/>
      <c r="R18" s="11">
        <f t="shared" si="1"/>
        <v>150</v>
      </c>
      <c r="S18" s="106"/>
      <c r="T18" s="5"/>
      <c r="U18" s="34">
        <v>150</v>
      </c>
      <c r="V18" s="38">
        <f>+U18-U17</f>
        <v>76</v>
      </c>
      <c r="W18" s="39" t="s">
        <v>63</v>
      </c>
      <c r="X18" s="6">
        <f>150-V18</f>
        <v>74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228"/>
      <c r="N19" s="227">
        <f>+M19*3</f>
        <v>0</v>
      </c>
      <c r="O19" s="74">
        <v>37</v>
      </c>
      <c r="P19" s="75">
        <f t="shared" si="2"/>
        <v>150</v>
      </c>
      <c r="Q19" s="217"/>
      <c r="R19" s="9">
        <f t="shared" si="1"/>
        <v>150</v>
      </c>
      <c r="S19" s="107"/>
      <c r="T19" s="5"/>
      <c r="U19" s="10"/>
      <c r="X19" s="37"/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228"/>
      <c r="N20" s="227">
        <v>0</v>
      </c>
      <c r="O20" s="74"/>
      <c r="P20" s="75">
        <f t="shared" si="2"/>
        <v>0</v>
      </c>
      <c r="Q20" s="217"/>
      <c r="R20" s="9">
        <f t="shared" si="1"/>
        <v>0</v>
      </c>
      <c r="S20" s="107"/>
      <c r="T20" s="5"/>
      <c r="U20" s="58"/>
      <c r="V20" s="59"/>
      <c r="W20" s="60"/>
      <c r="X20" s="61"/>
    </row>
    <row r="21" spans="1:29">
      <c r="A21" s="215"/>
      <c r="H21" s="142"/>
      <c r="I21" s="25" t="s">
        <v>4</v>
      </c>
      <c r="J21" s="81" t="s">
        <v>111</v>
      </c>
      <c r="K21" s="228"/>
      <c r="L21" s="227">
        <v>0</v>
      </c>
      <c r="M21" s="228"/>
      <c r="N21" s="227">
        <v>0</v>
      </c>
      <c r="O21" s="28">
        <v>30</v>
      </c>
      <c r="P21" s="75">
        <f t="shared" si="2"/>
        <v>150</v>
      </c>
      <c r="Q21" s="218"/>
      <c r="R21" s="11">
        <f t="shared" si="1"/>
        <v>150</v>
      </c>
      <c r="S21" s="107"/>
      <c r="T21" s="5"/>
      <c r="U21" s="103" t="s">
        <v>161</v>
      </c>
    </row>
    <row r="22" spans="1:29">
      <c r="A22" s="215"/>
      <c r="H22" s="251" t="s">
        <v>50</v>
      </c>
      <c r="I22" s="252" t="s">
        <v>9</v>
      </c>
      <c r="J22" s="250" t="s">
        <v>128</v>
      </c>
      <c r="K22" s="229"/>
      <c r="L22" s="230">
        <v>0</v>
      </c>
      <c r="M22" s="229"/>
      <c r="N22" s="230">
        <v>0</v>
      </c>
      <c r="O22" s="23">
        <v>26</v>
      </c>
      <c r="P22" s="24">
        <f t="shared" si="2"/>
        <v>150</v>
      </c>
      <c r="Q22" s="219"/>
      <c r="R22" s="24">
        <f t="shared" si="1"/>
        <v>150</v>
      </c>
      <c r="S22" s="108"/>
      <c r="T22" s="5"/>
      <c r="U22" s="176" t="s">
        <v>158</v>
      </c>
      <c r="V22" s="177" t="s">
        <v>159</v>
      </c>
      <c r="W22" s="178"/>
      <c r="X22" s="174" t="s">
        <v>157</v>
      </c>
    </row>
    <row r="23" spans="1:29">
      <c r="A23" s="237"/>
      <c r="B23" s="237"/>
      <c r="C23" s="237"/>
      <c r="D23" s="238"/>
      <c r="E23" s="237"/>
      <c r="F23" s="239"/>
      <c r="G23" s="237"/>
      <c r="H23" s="142"/>
      <c r="I23" s="25" t="s">
        <v>51</v>
      </c>
      <c r="J23" s="96" t="s">
        <v>134</v>
      </c>
      <c r="K23" s="29"/>
      <c r="L23" s="27">
        <f>+K23*3</f>
        <v>0</v>
      </c>
      <c r="M23" s="28"/>
      <c r="N23" s="11">
        <f>+M23*3</f>
        <v>0</v>
      </c>
      <c r="O23" s="28"/>
      <c r="P23" s="11">
        <f t="shared" si="2"/>
        <v>0</v>
      </c>
      <c r="Q23" s="218"/>
      <c r="R23" s="240">
        <f t="shared" si="1"/>
        <v>0</v>
      </c>
      <c r="S23" s="241"/>
      <c r="T23" s="5"/>
      <c r="U23" s="179">
        <v>43480</v>
      </c>
      <c r="V23" s="170">
        <v>1</v>
      </c>
      <c r="W23" s="180"/>
      <c r="X23" s="33" t="s">
        <v>156</v>
      </c>
    </row>
    <row r="24" spans="1:29">
      <c r="A24" s="215"/>
      <c r="H24" s="83"/>
      <c r="I24" s="126" t="s">
        <v>61</v>
      </c>
      <c r="J24" s="80" t="s">
        <v>137</v>
      </c>
      <c r="K24" s="226"/>
      <c r="L24" s="227">
        <f>3*K24</f>
        <v>0</v>
      </c>
      <c r="M24" s="226"/>
      <c r="N24" s="227">
        <v>0</v>
      </c>
      <c r="O24" s="72"/>
      <c r="P24" s="75">
        <f t="shared" si="2"/>
        <v>0</v>
      </c>
      <c r="Q24" s="217"/>
      <c r="R24" s="11">
        <f t="shared" si="1"/>
        <v>0</v>
      </c>
      <c r="S24" s="106"/>
      <c r="T24" s="5"/>
      <c r="U24" s="179">
        <f>1+U23</f>
        <v>43481</v>
      </c>
      <c r="V24" s="170">
        <v>1</v>
      </c>
      <c r="W24" s="181"/>
      <c r="X24" s="33" t="s">
        <v>151</v>
      </c>
    </row>
    <row r="25" spans="1:29">
      <c r="A25" s="215"/>
      <c r="H25" s="83"/>
      <c r="I25" s="25" t="s">
        <v>14</v>
      </c>
      <c r="J25" s="96" t="s">
        <v>125</v>
      </c>
      <c r="K25" s="228"/>
      <c r="L25" s="227">
        <f>+K25*3</f>
        <v>0</v>
      </c>
      <c r="M25" s="228"/>
      <c r="N25" s="227">
        <v>0</v>
      </c>
      <c r="O25" s="74">
        <v>31</v>
      </c>
      <c r="P25" s="75">
        <f t="shared" si="2"/>
        <v>150</v>
      </c>
      <c r="Q25" s="218"/>
      <c r="R25" s="11">
        <f t="shared" si="1"/>
        <v>150</v>
      </c>
      <c r="S25" s="107"/>
      <c r="T25" s="5"/>
      <c r="U25" s="179">
        <f>1+U24</f>
        <v>43482</v>
      </c>
      <c r="V25" s="170">
        <v>1</v>
      </c>
      <c r="W25" s="182"/>
      <c r="X25" s="33" t="s">
        <v>152</v>
      </c>
    </row>
    <row r="26" spans="1:29">
      <c r="A26" s="215"/>
      <c r="H26" s="83"/>
      <c r="I26" s="126" t="s">
        <v>79</v>
      </c>
      <c r="J26" s="82" t="s">
        <v>110</v>
      </c>
      <c r="K26" s="228"/>
      <c r="L26" s="227">
        <v>0</v>
      </c>
      <c r="M26" s="228"/>
      <c r="N26" s="227">
        <f>3*M26</f>
        <v>0</v>
      </c>
      <c r="O26" s="76">
        <v>34</v>
      </c>
      <c r="P26" s="75">
        <f t="shared" si="2"/>
        <v>150</v>
      </c>
      <c r="Q26" s="217"/>
      <c r="R26" s="11">
        <f t="shared" si="1"/>
        <v>150</v>
      </c>
      <c r="S26" s="106"/>
      <c r="T26" s="5"/>
      <c r="U26" s="179">
        <f>1+U25</f>
        <v>43483</v>
      </c>
      <c r="V26" s="170">
        <v>1</v>
      </c>
      <c r="W26" s="181"/>
      <c r="X26" s="33" t="s">
        <v>153</v>
      </c>
    </row>
    <row r="27" spans="1:29">
      <c r="H27" s="247" t="s">
        <v>50</v>
      </c>
      <c r="I27" s="248" t="s">
        <v>214</v>
      </c>
      <c r="J27" s="249" t="s">
        <v>215</v>
      </c>
      <c r="K27" s="229"/>
      <c r="L27" s="230">
        <v>0</v>
      </c>
      <c r="M27" s="229"/>
      <c r="N27" s="230">
        <v>0</v>
      </c>
      <c r="O27" s="192"/>
      <c r="P27" s="193">
        <f t="shared" si="2"/>
        <v>0</v>
      </c>
      <c r="Q27" s="221"/>
      <c r="R27" s="193">
        <f t="shared" si="1"/>
        <v>0</v>
      </c>
      <c r="S27" s="108"/>
      <c r="T27" s="5"/>
      <c r="U27" s="179">
        <f>1+U26</f>
        <v>43484</v>
      </c>
      <c r="V27" s="170">
        <v>0.5</v>
      </c>
      <c r="W27" s="183"/>
      <c r="X27" s="33" t="s">
        <v>154</v>
      </c>
    </row>
    <row r="28" spans="1:29">
      <c r="A28" s="216"/>
      <c r="B28" s="4"/>
      <c r="C28" s="4"/>
      <c r="D28" s="3"/>
      <c r="E28" s="4"/>
      <c r="F28" s="40"/>
      <c r="G28" s="4"/>
      <c r="H28" s="83"/>
      <c r="I28" s="25" t="s">
        <v>0</v>
      </c>
      <c r="J28" s="81" t="s">
        <v>108</v>
      </c>
      <c r="K28" s="228"/>
      <c r="L28" s="227">
        <f>+K28*5</f>
        <v>0</v>
      </c>
      <c r="M28" s="228"/>
      <c r="N28" s="227">
        <f>+M28*5</f>
        <v>0</v>
      </c>
      <c r="O28" s="74"/>
      <c r="P28" s="75">
        <v>0</v>
      </c>
      <c r="Q28" s="217"/>
      <c r="R28" s="9">
        <f t="shared" si="1"/>
        <v>0</v>
      </c>
      <c r="S28" s="107"/>
      <c r="T28" s="5"/>
      <c r="U28" s="184"/>
      <c r="V28" s="170">
        <f>SUM(V23:V27)</f>
        <v>4.5</v>
      </c>
      <c r="W28" s="183" t="s">
        <v>148</v>
      </c>
      <c r="X28" s="175" t="s">
        <v>155</v>
      </c>
    </row>
    <row r="29" spans="1:29">
      <c r="A29" s="237"/>
      <c r="B29" s="237"/>
      <c r="C29" s="237"/>
      <c r="D29" s="238"/>
      <c r="E29" s="237"/>
      <c r="F29" s="239"/>
      <c r="G29" s="237"/>
      <c r="H29" s="142"/>
      <c r="I29" s="25" t="s">
        <v>45</v>
      </c>
      <c r="J29" s="96" t="s">
        <v>133</v>
      </c>
      <c r="K29" s="29"/>
      <c r="L29" s="27">
        <f>+K29*3</f>
        <v>0</v>
      </c>
      <c r="M29" s="28"/>
      <c r="N29" s="11">
        <f>+M29*3</f>
        <v>0</v>
      </c>
      <c r="O29" s="28">
        <v>33</v>
      </c>
      <c r="P29" s="11">
        <f t="shared" ref="P29:P41" si="3">IF(O29&gt;25,150,(O29)*6)</f>
        <v>150</v>
      </c>
      <c r="Q29" s="218"/>
      <c r="R29" s="240">
        <f t="shared" si="1"/>
        <v>150</v>
      </c>
      <c r="S29" s="241"/>
      <c r="T29" s="5"/>
      <c r="U29" s="184"/>
      <c r="V29" s="171">
        <v>18</v>
      </c>
      <c r="W29" s="185" t="s">
        <v>149</v>
      </c>
      <c r="X29" s="61"/>
    </row>
    <row r="30" spans="1:29" ht="16.5">
      <c r="A30" s="215"/>
      <c r="H30" s="251" t="s">
        <v>50</v>
      </c>
      <c r="I30" s="252" t="s">
        <v>13</v>
      </c>
      <c r="J30" s="250" t="s">
        <v>121</v>
      </c>
      <c r="K30" s="229"/>
      <c r="L30" s="230">
        <f>3*K30</f>
        <v>0</v>
      </c>
      <c r="M30" s="229"/>
      <c r="N30" s="230">
        <v>0</v>
      </c>
      <c r="O30" s="23"/>
      <c r="P30" s="24">
        <f t="shared" si="3"/>
        <v>0</v>
      </c>
      <c r="Q30" s="219"/>
      <c r="R30" s="24">
        <f t="shared" si="1"/>
        <v>0</v>
      </c>
      <c r="S30" s="108"/>
      <c r="T30" s="5"/>
      <c r="U30" s="186" t="s">
        <v>160</v>
      </c>
      <c r="V30" s="172">
        <f>+V29/V28</f>
        <v>4</v>
      </c>
      <c r="W30" s="173" t="s">
        <v>150</v>
      </c>
      <c r="X30" s="61"/>
    </row>
    <row r="31" spans="1:29">
      <c r="A31" s="215"/>
      <c r="H31" s="83"/>
      <c r="I31" s="25" t="s">
        <v>31</v>
      </c>
      <c r="J31" s="81" t="s">
        <v>127</v>
      </c>
      <c r="K31" s="228"/>
      <c r="L31" s="227">
        <v>0</v>
      </c>
      <c r="M31" s="228"/>
      <c r="N31" s="227">
        <v>0</v>
      </c>
      <c r="O31" s="74">
        <v>34</v>
      </c>
      <c r="P31" s="75">
        <f t="shared" si="3"/>
        <v>150</v>
      </c>
      <c r="Q31" s="218"/>
      <c r="R31" s="11">
        <f t="shared" si="1"/>
        <v>150</v>
      </c>
      <c r="S31" s="107"/>
      <c r="T31" s="5"/>
      <c r="U31" s="58"/>
      <c r="V31" s="59"/>
      <c r="W31" s="60"/>
      <c r="X31" s="65"/>
      <c r="AC31">
        <v>4</v>
      </c>
    </row>
    <row r="32" spans="1:29">
      <c r="A32" s="215"/>
      <c r="H32" s="83"/>
      <c r="I32" s="25" t="s">
        <v>30</v>
      </c>
      <c r="J32" s="81" t="s">
        <v>126</v>
      </c>
      <c r="K32" s="228"/>
      <c r="L32" s="227">
        <f>+K32*3</f>
        <v>0</v>
      </c>
      <c r="M32" s="228"/>
      <c r="N32" s="227">
        <f>+M32*3</f>
        <v>0</v>
      </c>
      <c r="O32" s="28">
        <v>34</v>
      </c>
      <c r="P32" s="11">
        <f t="shared" si="3"/>
        <v>150</v>
      </c>
      <c r="Q32" s="218"/>
      <c r="R32" s="11">
        <f t="shared" si="1"/>
        <v>150</v>
      </c>
      <c r="S32" s="107"/>
      <c r="T32" s="5"/>
      <c r="U32" s="58"/>
      <c r="V32" s="66"/>
      <c r="W32" s="67"/>
      <c r="X32" s="66"/>
      <c r="Z32">
        <v>186.44069999999999</v>
      </c>
      <c r="AA32">
        <f>+Z32*0.18</f>
        <v>33.559325999999999</v>
      </c>
      <c r="AB32">
        <f>+Z32+AA32</f>
        <v>220.00002599999999</v>
      </c>
      <c r="AC32">
        <f>+AB32*AC31</f>
        <v>880.00010399999996</v>
      </c>
    </row>
    <row r="33" spans="1:29" s="4" customFormat="1">
      <c r="A33" s="215"/>
      <c r="B33"/>
      <c r="C33"/>
      <c r="D33" s="1"/>
      <c r="E33"/>
      <c r="F33" s="2"/>
      <c r="G33"/>
      <c r="H33" s="247" t="s">
        <v>50</v>
      </c>
      <c r="I33" s="248" t="s">
        <v>186</v>
      </c>
      <c r="J33" s="249" t="s">
        <v>187</v>
      </c>
      <c r="K33" s="229"/>
      <c r="L33" s="230">
        <v>0</v>
      </c>
      <c r="M33" s="229"/>
      <c r="N33" s="230">
        <v>0</v>
      </c>
      <c r="O33" s="192">
        <v>2</v>
      </c>
      <c r="P33" s="193">
        <f t="shared" si="3"/>
        <v>12</v>
      </c>
      <c r="Q33" s="221"/>
      <c r="R33" s="193">
        <f t="shared" si="1"/>
        <v>12</v>
      </c>
      <c r="S33" s="108"/>
      <c r="T33" s="5"/>
      <c r="U33" s="64"/>
      <c r="V33" s="59"/>
      <c r="W33" s="60"/>
      <c r="X33" s="68"/>
      <c r="Z33" s="4">
        <v>206.44069999999999</v>
      </c>
      <c r="AA33">
        <f>+Z33*0.18</f>
        <v>37.159326</v>
      </c>
      <c r="AB33">
        <f>+Z33+AA33</f>
        <v>243.60002599999999</v>
      </c>
      <c r="AC33" s="4">
        <f>+AB33*AC31</f>
        <v>974.40010399999994</v>
      </c>
    </row>
    <row r="34" spans="1:29">
      <c r="A34" s="215"/>
      <c r="H34" s="83"/>
      <c r="I34" s="25" t="s">
        <v>17</v>
      </c>
      <c r="J34" s="81" t="s">
        <v>123</v>
      </c>
      <c r="K34" s="228"/>
      <c r="L34" s="227">
        <f>+K34*3</f>
        <v>0</v>
      </c>
      <c r="M34" s="228"/>
      <c r="N34" s="227">
        <f>+M34*3</f>
        <v>0</v>
      </c>
      <c r="O34" s="74">
        <v>25</v>
      </c>
      <c r="P34" s="75">
        <f t="shared" si="3"/>
        <v>150</v>
      </c>
      <c r="Q34" s="218"/>
      <c r="R34" s="11">
        <f t="shared" si="1"/>
        <v>150</v>
      </c>
      <c r="S34" s="107"/>
      <c r="T34" s="5"/>
      <c r="U34" s="58"/>
      <c r="V34" s="59"/>
      <c r="W34" s="67"/>
      <c r="X34" s="69"/>
      <c r="Z34">
        <f>+Z33-Z32</f>
        <v>20</v>
      </c>
      <c r="AA34">
        <f>+AA33-AA32</f>
        <v>3.6000000000000014</v>
      </c>
      <c r="AB34">
        <f>+AB33-AB32</f>
        <v>23.599999999999994</v>
      </c>
      <c r="AC34">
        <f>+AB34*AC31</f>
        <v>94.399999999999977</v>
      </c>
    </row>
    <row r="35" spans="1:29">
      <c r="A35" s="215"/>
      <c r="H35" s="83"/>
      <c r="I35" s="25" t="s">
        <v>60</v>
      </c>
      <c r="J35" s="81" t="s">
        <v>132</v>
      </c>
      <c r="K35" s="228"/>
      <c r="L35" s="227">
        <v>0</v>
      </c>
      <c r="M35" s="228"/>
      <c r="N35" s="227">
        <v>0</v>
      </c>
      <c r="O35" s="74"/>
      <c r="P35" s="75">
        <f t="shared" si="3"/>
        <v>0</v>
      </c>
      <c r="Q35" s="218"/>
      <c r="R35" s="11">
        <f t="shared" si="1"/>
        <v>0</v>
      </c>
      <c r="S35" s="107"/>
      <c r="T35" s="5"/>
      <c r="U35" s="58"/>
      <c r="V35" s="59"/>
      <c r="W35" s="60"/>
      <c r="X35" s="65"/>
    </row>
    <row r="36" spans="1:29">
      <c r="A36" s="215"/>
      <c r="H36" s="142"/>
      <c r="I36" s="25" t="s">
        <v>8</v>
      </c>
      <c r="J36" s="81" t="s">
        <v>120</v>
      </c>
      <c r="K36" s="228"/>
      <c r="L36" s="227">
        <v>0</v>
      </c>
      <c r="M36" s="228"/>
      <c r="N36" s="227">
        <v>0</v>
      </c>
      <c r="O36" s="28"/>
      <c r="P36" s="75">
        <f t="shared" si="3"/>
        <v>0</v>
      </c>
      <c r="Q36" s="218"/>
      <c r="R36" s="57">
        <f t="shared" si="1"/>
        <v>0</v>
      </c>
      <c r="S36" s="107"/>
      <c r="T36" s="5"/>
      <c r="U36" s="58"/>
      <c r="V36" s="59"/>
      <c r="W36" s="60"/>
      <c r="X36" s="61"/>
    </row>
    <row r="37" spans="1:29">
      <c r="A37" s="215"/>
      <c r="H37" s="83"/>
      <c r="I37" s="25" t="s">
        <v>11</v>
      </c>
      <c r="J37" s="96" t="s">
        <v>130</v>
      </c>
      <c r="K37" s="228"/>
      <c r="L37" s="227">
        <f>+K37*3</f>
        <v>0</v>
      </c>
      <c r="M37" s="228"/>
      <c r="N37" s="227">
        <f>+M37*3</f>
        <v>0</v>
      </c>
      <c r="O37" s="74">
        <v>29</v>
      </c>
      <c r="P37" s="75">
        <f t="shared" si="3"/>
        <v>150</v>
      </c>
      <c r="Q37" s="220"/>
      <c r="R37" s="11">
        <f t="shared" si="1"/>
        <v>150</v>
      </c>
      <c r="S37" s="107"/>
      <c r="T37" s="5"/>
      <c r="U37" s="58"/>
      <c r="V37" s="59"/>
      <c r="W37" s="62"/>
      <c r="X37" s="63"/>
    </row>
    <row r="38" spans="1:29">
      <c r="H38" s="83"/>
      <c r="I38" s="25" t="s">
        <v>44</v>
      </c>
      <c r="J38" s="96" t="s">
        <v>124</v>
      </c>
      <c r="K38" s="228"/>
      <c r="L38" s="227">
        <f>+K38*3</f>
        <v>0</v>
      </c>
      <c r="M38" s="228"/>
      <c r="N38" s="227">
        <f>+M38*3</f>
        <v>0</v>
      </c>
      <c r="O38" s="113"/>
      <c r="P38" s="75">
        <f t="shared" si="3"/>
        <v>0</v>
      </c>
      <c r="Q38" s="218"/>
      <c r="R38" s="11">
        <f t="shared" si="1"/>
        <v>0</v>
      </c>
      <c r="S38" s="107"/>
      <c r="T38" s="5"/>
      <c r="V38" s="59"/>
      <c r="W38" s="67"/>
      <c r="X38" s="66"/>
    </row>
    <row r="39" spans="1:29">
      <c r="H39" s="244"/>
      <c r="I39" s="25" t="s">
        <v>6</v>
      </c>
      <c r="J39" s="96" t="s">
        <v>116</v>
      </c>
      <c r="K39" s="228"/>
      <c r="L39" s="227">
        <f>+K39*3</f>
        <v>0</v>
      </c>
      <c r="M39" s="228"/>
      <c r="N39" s="227">
        <f>+M39*3</f>
        <v>0</v>
      </c>
      <c r="O39" s="74">
        <v>29</v>
      </c>
      <c r="P39" s="75">
        <f t="shared" si="3"/>
        <v>150</v>
      </c>
      <c r="Q39" s="220"/>
      <c r="R39" s="11">
        <f t="shared" si="1"/>
        <v>150</v>
      </c>
      <c r="S39" s="107"/>
      <c r="T39" s="243"/>
      <c r="U39" s="246" t="s">
        <v>226</v>
      </c>
      <c r="V39" s="245"/>
      <c r="W39" s="60"/>
      <c r="X39" s="65"/>
    </row>
    <row r="40" spans="1:29">
      <c r="H40" s="95"/>
      <c r="I40" s="25" t="s">
        <v>53</v>
      </c>
      <c r="J40" s="81" t="s">
        <v>135</v>
      </c>
      <c r="K40" s="228"/>
      <c r="L40" s="227">
        <v>0</v>
      </c>
      <c r="M40" s="228"/>
      <c r="N40" s="227">
        <v>0</v>
      </c>
      <c r="O40" s="28">
        <v>2</v>
      </c>
      <c r="P40" s="75">
        <f t="shared" si="3"/>
        <v>12</v>
      </c>
      <c r="Q40" s="218"/>
      <c r="R40" s="11">
        <f t="shared" si="1"/>
        <v>12</v>
      </c>
      <c r="S40" s="107"/>
      <c r="T40" s="5"/>
      <c r="U40" s="58"/>
      <c r="V40" s="59"/>
      <c r="W40" s="60"/>
      <c r="X40" s="65"/>
    </row>
    <row r="41" spans="1:29">
      <c r="H41" s="81"/>
      <c r="I41" s="120" t="s">
        <v>12</v>
      </c>
      <c r="J41" s="150" t="s">
        <v>114</v>
      </c>
      <c r="K41" s="232"/>
      <c r="L41" s="233">
        <v>0</v>
      </c>
      <c r="M41" s="232"/>
      <c r="N41" s="233">
        <v>0</v>
      </c>
      <c r="O41" s="122"/>
      <c r="P41" s="147">
        <f t="shared" si="3"/>
        <v>0</v>
      </c>
      <c r="Q41" s="222"/>
      <c r="R41" s="124">
        <f t="shared" si="1"/>
        <v>0</v>
      </c>
      <c r="S41" s="148"/>
      <c r="T41" s="5"/>
      <c r="U41" s="58"/>
      <c r="V41" s="59"/>
      <c r="W41" s="60"/>
      <c r="X41" s="61"/>
    </row>
    <row r="42" spans="1:29">
      <c r="I42" s="13"/>
      <c r="J42" s="14"/>
      <c r="K42" s="234">
        <f t="shared" ref="K42:S42" si="4">SUM(K5:K41)</f>
        <v>0</v>
      </c>
      <c r="L42" s="235">
        <f t="shared" si="4"/>
        <v>0</v>
      </c>
      <c r="M42" s="234">
        <f t="shared" si="4"/>
        <v>0</v>
      </c>
      <c r="N42" s="235">
        <f t="shared" si="4"/>
        <v>0</v>
      </c>
      <c r="O42" s="77">
        <f t="shared" si="4"/>
        <v>618</v>
      </c>
      <c r="P42" s="78">
        <f t="shared" si="4"/>
        <v>3030</v>
      </c>
      <c r="Q42" s="223">
        <f t="shared" si="4"/>
        <v>0</v>
      </c>
      <c r="R42" s="78">
        <f t="shared" si="4"/>
        <v>3030</v>
      </c>
      <c r="S42" s="102">
        <f t="shared" si="4"/>
        <v>0</v>
      </c>
      <c r="T42" s="5"/>
      <c r="U42" s="58"/>
      <c r="V42" s="59"/>
      <c r="W42" s="60"/>
      <c r="X42" s="61"/>
    </row>
    <row r="43" spans="1:29">
      <c r="J43" s="200">
        <f ca="1">TODAY()</f>
        <v>43825</v>
      </c>
      <c r="K43" s="41"/>
      <c r="M43" s="42"/>
      <c r="N43" s="41"/>
      <c r="O43" s="45" t="s">
        <v>81</v>
      </c>
      <c r="Q43" s="42"/>
      <c r="R43" s="45">
        <f>+R10+R22+R27+R30+R33</f>
        <v>162</v>
      </c>
      <c r="T43" s="5"/>
      <c r="U43" s="58"/>
      <c r="V43" s="59"/>
      <c r="W43" s="60"/>
      <c r="X43" s="65"/>
    </row>
    <row r="44" spans="1:29">
      <c r="L44" s="43"/>
      <c r="M44" s="44"/>
      <c r="N44" s="125"/>
      <c r="O44" s="43" t="s">
        <v>91</v>
      </c>
      <c r="P44" s="114"/>
      <c r="Q44" s="110" t="s">
        <v>58</v>
      </c>
      <c r="R44" s="111">
        <f>+R42-R43</f>
        <v>2868</v>
      </c>
      <c r="S44" s="109"/>
      <c r="T44" s="5"/>
      <c r="U44" s="58"/>
      <c r="V44" s="59"/>
      <c r="W44" s="62"/>
      <c r="X44" s="60"/>
    </row>
    <row r="45" spans="1:29" ht="3.95" customHeight="1">
      <c r="P45" s="19"/>
      <c r="U45" s="58"/>
      <c r="V45" s="59"/>
      <c r="W45" s="62"/>
      <c r="X45" s="60"/>
    </row>
    <row r="46" spans="1:29">
      <c r="I46" s="224" t="s">
        <v>199</v>
      </c>
      <c r="P46" s="19"/>
      <c r="U46" s="64"/>
      <c r="V46" s="59"/>
      <c r="W46" s="60"/>
      <c r="X46" s="68"/>
    </row>
    <row r="47" spans="1:29">
      <c r="I47" s="224" t="s">
        <v>200</v>
      </c>
      <c r="P47" s="19"/>
      <c r="U47" s="58"/>
      <c r="V47" s="66"/>
      <c r="W47" s="67"/>
      <c r="X47" s="69"/>
    </row>
    <row r="48" spans="1:29">
      <c r="I48" s="224" t="s">
        <v>201</v>
      </c>
      <c r="P48" s="19"/>
      <c r="U48" s="60"/>
      <c r="V48" s="59"/>
      <c r="W48" s="60"/>
      <c r="X48" s="60"/>
    </row>
    <row r="49" spans="9:24">
      <c r="I49" s="224" t="s">
        <v>202</v>
      </c>
      <c r="P49" s="19"/>
      <c r="U49" s="60"/>
      <c r="V49" s="59"/>
      <c r="W49" s="60"/>
      <c r="X49" s="60"/>
    </row>
    <row r="50" spans="9:24">
      <c r="I50" s="224" t="s">
        <v>203</v>
      </c>
      <c r="P50" s="19"/>
      <c r="U50" s="60"/>
      <c r="V50" s="59"/>
      <c r="W50" s="60"/>
      <c r="X50" s="60"/>
    </row>
    <row r="51" spans="9:24">
      <c r="I51" s="224" t="s">
        <v>204</v>
      </c>
      <c r="U51" s="60"/>
      <c r="V51" s="59"/>
      <c r="W51" s="60"/>
      <c r="X51" s="60"/>
    </row>
    <row r="52" spans="9:24">
      <c r="I52" s="224" t="s">
        <v>205</v>
      </c>
      <c r="P52" s="19"/>
      <c r="U52" s="60"/>
      <c r="V52" s="59"/>
      <c r="W52" s="60"/>
      <c r="X52" s="60"/>
    </row>
    <row r="53" spans="9:24" ht="3.95" customHeight="1">
      <c r="I53" s="224" t="s">
        <v>206</v>
      </c>
      <c r="P53" s="19"/>
      <c r="U53" s="60"/>
      <c r="V53" s="59"/>
      <c r="W53" s="60"/>
      <c r="X53" s="60"/>
    </row>
    <row r="54" spans="9:24">
      <c r="P54" s="19"/>
      <c r="U54" s="60"/>
      <c r="V54" s="59"/>
      <c r="W54" s="60"/>
      <c r="X54" s="60"/>
    </row>
    <row r="55" spans="9:24">
      <c r="U55" s="60"/>
      <c r="V55" s="59"/>
      <c r="W55" s="60"/>
      <c r="X55" s="60"/>
    </row>
  </sheetData>
  <mergeCells count="4">
    <mergeCell ref="I2:R2"/>
    <mergeCell ref="K3:N3"/>
    <mergeCell ref="O3:P3"/>
    <mergeCell ref="T3:V3"/>
  </mergeCells>
  <conditionalFormatting sqref="R5">
    <cfRule type="cellIs" dxfId="42" priority="4" operator="lessThanOrEqual">
      <formula>0</formula>
    </cfRule>
  </conditionalFormatting>
  <conditionalFormatting sqref="R5:R41">
    <cfRule type="cellIs" dxfId="41" priority="3" operator="greaterThan">
      <formula>0</formula>
    </cfRule>
  </conditionalFormatting>
  <printOptions horizontalCentered="1"/>
  <pageMargins left="0" right="0" top="0.83" bottom="0" header="0" footer="0"/>
  <pageSetup paperSize="9" scale="93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55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Q10" sqref="Q10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5.42578125" customWidth="1"/>
    <col min="9" max="9" width="7.7109375" customWidth="1"/>
    <col min="10" max="10" width="23" customWidth="1"/>
    <col min="11" max="11" width="4.7109375" customWidth="1"/>
    <col min="12" max="12" width="5.7109375" customWidth="1"/>
    <col min="13" max="13" width="6.140625" customWidth="1"/>
    <col min="14" max="14" width="11.28515625" customWidth="1"/>
    <col min="15" max="15" width="6.140625" customWidth="1"/>
    <col min="16" max="16" width="11.42578125" customWidth="1"/>
    <col min="17" max="17" width="6.7109375" customWidth="1"/>
    <col min="18" max="18" width="13.85546875" customWidth="1"/>
    <col min="19" max="19" width="5.710937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4" ht="5.0999999999999996" customHeight="1"/>
    <row r="2" spans="8:24">
      <c r="H2" s="83"/>
      <c r="I2" s="439" t="s">
        <v>222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4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4" ht="42.75" customHeight="1">
      <c r="H4" s="83" t="s">
        <v>143</v>
      </c>
      <c r="I4" s="86" t="s">
        <v>7</v>
      </c>
      <c r="J4" s="86" t="s">
        <v>3</v>
      </c>
      <c r="K4" s="225" t="s">
        <v>15</v>
      </c>
      <c r="L4" s="225" t="s">
        <v>208</v>
      </c>
      <c r="M4" s="225" t="s">
        <v>15</v>
      </c>
      <c r="N4" s="225" t="s">
        <v>216</v>
      </c>
      <c r="O4" s="87" t="s">
        <v>15</v>
      </c>
      <c r="P4" s="87" t="s">
        <v>220</v>
      </c>
      <c r="Q4" s="99" t="s">
        <v>221</v>
      </c>
      <c r="R4" s="88" t="s">
        <v>103</v>
      </c>
      <c r="S4" s="139" t="s">
        <v>104</v>
      </c>
      <c r="T4" s="89"/>
      <c r="U4" s="83"/>
      <c r="V4" s="83"/>
    </row>
    <row r="5" spans="8:24">
      <c r="H5" s="83"/>
      <c r="I5" s="126" t="s">
        <v>5</v>
      </c>
      <c r="J5" s="80" t="s">
        <v>117</v>
      </c>
      <c r="K5" s="226"/>
      <c r="L5" s="227">
        <f>+K5*3</f>
        <v>0</v>
      </c>
      <c r="M5" s="226"/>
      <c r="N5" s="227">
        <f>+M5*3</f>
        <v>0</v>
      </c>
      <c r="O5" s="76">
        <v>27</v>
      </c>
      <c r="P5" s="75">
        <f t="shared" ref="P5:P14" si="0">IF(O5&gt;25,150,(O5)*6)</f>
        <v>150</v>
      </c>
      <c r="Q5" s="217"/>
      <c r="R5" s="11">
        <f t="shared" ref="R5:R41" si="1">+L5+N5+P5+Q5</f>
        <v>150</v>
      </c>
      <c r="S5" s="106"/>
      <c r="T5" s="5"/>
      <c r="U5" s="92">
        <v>828</v>
      </c>
      <c r="V5" s="93">
        <v>107.64</v>
      </c>
      <c r="W5" s="94">
        <v>720.36</v>
      </c>
      <c r="X5" s="70" t="s">
        <v>36</v>
      </c>
    </row>
    <row r="6" spans="8:24">
      <c r="H6" s="83"/>
      <c r="I6" s="126" t="s">
        <v>82</v>
      </c>
      <c r="J6" s="80" t="s">
        <v>141</v>
      </c>
      <c r="K6" s="226"/>
      <c r="L6" s="227">
        <f>+K6*3</f>
        <v>0</v>
      </c>
      <c r="M6" s="226"/>
      <c r="N6" s="227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0">
        <f>+V6+W6</f>
        <v>827.58620689655174</v>
      </c>
      <c r="V6" s="71">
        <f>+V5*W6/W5</f>
        <v>107.58620689655173</v>
      </c>
      <c r="W6" s="31">
        <v>720</v>
      </c>
      <c r="X6" s="36"/>
    </row>
    <row r="7" spans="8:24">
      <c r="H7" s="83"/>
      <c r="I7" s="126" t="s">
        <v>64</v>
      </c>
      <c r="J7" s="80" t="s">
        <v>138</v>
      </c>
      <c r="K7" s="226"/>
      <c r="L7" s="227">
        <f>+K7*3</f>
        <v>0</v>
      </c>
      <c r="M7" s="226"/>
      <c r="N7" s="227">
        <v>0</v>
      </c>
      <c r="O7" s="76">
        <v>34</v>
      </c>
      <c r="P7" s="75">
        <f t="shared" si="0"/>
        <v>150</v>
      </c>
      <c r="Q7" s="217"/>
      <c r="R7" s="11">
        <f t="shared" si="1"/>
        <v>150</v>
      </c>
      <c r="S7" s="106"/>
      <c r="T7" s="5"/>
      <c r="U7" s="32">
        <f>+U5-U6</f>
        <v>0.41379310344825626</v>
      </c>
      <c r="V7" s="47"/>
      <c r="W7" s="33"/>
      <c r="X7" s="4" t="s">
        <v>59</v>
      </c>
    </row>
    <row r="8" spans="8:24">
      <c r="H8" s="83"/>
      <c r="I8" s="25" t="s">
        <v>2</v>
      </c>
      <c r="J8" s="81" t="s">
        <v>107</v>
      </c>
      <c r="K8" s="228"/>
      <c r="L8" s="227">
        <f>+K8*3</f>
        <v>0</v>
      </c>
      <c r="M8" s="228"/>
      <c r="N8" s="227">
        <f>+M8*3</f>
        <v>0</v>
      </c>
      <c r="O8" s="74">
        <v>28</v>
      </c>
      <c r="P8" s="75">
        <f t="shared" si="0"/>
        <v>150</v>
      </c>
      <c r="Q8" s="217"/>
      <c r="R8" s="11">
        <f t="shared" si="1"/>
        <v>150</v>
      </c>
      <c r="S8" s="138"/>
      <c r="T8" s="5"/>
      <c r="U8" s="34">
        <v>150</v>
      </c>
      <c r="V8" s="38">
        <f>+U8-U7</f>
        <v>149.58620689655174</v>
      </c>
      <c r="W8" s="39" t="s">
        <v>63</v>
      </c>
      <c r="X8" s="6">
        <f>150-V8</f>
        <v>0.41379310344825626</v>
      </c>
    </row>
    <row r="9" spans="8:24">
      <c r="H9" s="95"/>
      <c r="I9" s="25" t="s">
        <v>42</v>
      </c>
      <c r="J9" s="81" t="s">
        <v>119</v>
      </c>
      <c r="K9" s="228"/>
      <c r="L9" s="227">
        <f>+K9*3</f>
        <v>0</v>
      </c>
      <c r="M9" s="228"/>
      <c r="N9" s="227">
        <f>+M9*3</f>
        <v>0</v>
      </c>
      <c r="O9" s="28">
        <v>2</v>
      </c>
      <c r="P9" s="75">
        <f t="shared" si="0"/>
        <v>12</v>
      </c>
      <c r="Q9" s="218"/>
      <c r="R9" s="11">
        <f t="shared" si="1"/>
        <v>12</v>
      </c>
      <c r="S9" s="107"/>
      <c r="T9" s="5"/>
      <c r="U9" s="10"/>
      <c r="X9" s="37"/>
    </row>
    <row r="10" spans="8:24" ht="15" customHeight="1">
      <c r="H10" s="187" t="s">
        <v>170</v>
      </c>
      <c r="I10" s="188" t="s">
        <v>1</v>
      </c>
      <c r="J10" s="242" t="s">
        <v>106</v>
      </c>
      <c r="K10" s="192"/>
      <c r="L10" s="193">
        <f>3*K10</f>
        <v>0</v>
      </c>
      <c r="M10" s="192"/>
      <c r="N10" s="193">
        <f>3*M10</f>
        <v>0</v>
      </c>
      <c r="O10" s="192"/>
      <c r="P10" s="193">
        <f t="shared" si="0"/>
        <v>0</v>
      </c>
      <c r="Q10" s="221"/>
      <c r="R10" s="193">
        <f t="shared" si="1"/>
        <v>0</v>
      </c>
      <c r="S10" s="197"/>
      <c r="T10" s="5"/>
      <c r="U10" s="92">
        <v>856</v>
      </c>
      <c r="V10" s="93">
        <v>110.51</v>
      </c>
      <c r="W10" s="94">
        <v>745.49</v>
      </c>
      <c r="X10" s="70" t="s">
        <v>35</v>
      </c>
    </row>
    <row r="11" spans="8:24">
      <c r="H11" s="141"/>
      <c r="I11" s="126" t="s">
        <v>56</v>
      </c>
      <c r="J11" s="80" t="s">
        <v>136</v>
      </c>
      <c r="K11" s="226"/>
      <c r="L11" s="227">
        <v>0</v>
      </c>
      <c r="M11" s="226"/>
      <c r="N11" s="227">
        <v>0</v>
      </c>
      <c r="O11" s="74">
        <v>32</v>
      </c>
      <c r="P11" s="75">
        <f t="shared" si="0"/>
        <v>150</v>
      </c>
      <c r="Q11" s="217"/>
      <c r="R11" s="9">
        <f t="shared" si="1"/>
        <v>150</v>
      </c>
      <c r="S11" s="107"/>
      <c r="T11" s="5"/>
      <c r="U11" s="30">
        <f>+V11+W11</f>
        <v>826.7314115548163</v>
      </c>
      <c r="V11" s="71">
        <f>+V10*W11/W10</f>
        <v>106.73141155481629</v>
      </c>
      <c r="W11" s="31">
        <v>720</v>
      </c>
      <c r="X11" s="37"/>
    </row>
    <row r="12" spans="8:24">
      <c r="H12" s="95"/>
      <c r="I12" s="25" t="s">
        <v>16</v>
      </c>
      <c r="J12" s="81" t="s">
        <v>113</v>
      </c>
      <c r="K12" s="228"/>
      <c r="L12" s="227">
        <v>0</v>
      </c>
      <c r="M12" s="228"/>
      <c r="N12" s="227">
        <v>0</v>
      </c>
      <c r="O12" s="28">
        <v>21</v>
      </c>
      <c r="P12" s="75">
        <f t="shared" si="0"/>
        <v>126</v>
      </c>
      <c r="Q12" s="218"/>
      <c r="R12" s="9">
        <f t="shared" si="1"/>
        <v>126</v>
      </c>
      <c r="S12" s="106"/>
      <c r="T12" s="5"/>
      <c r="U12" s="32">
        <f>+U10-U11</f>
        <v>29.268588445183696</v>
      </c>
      <c r="V12" s="47"/>
      <c r="W12" s="33"/>
      <c r="X12" s="4" t="s">
        <v>59</v>
      </c>
    </row>
    <row r="13" spans="8:24">
      <c r="H13" s="83"/>
      <c r="I13" s="25" t="s">
        <v>92</v>
      </c>
      <c r="J13" s="81" t="s">
        <v>109</v>
      </c>
      <c r="K13" s="228"/>
      <c r="L13" s="227">
        <v>0</v>
      </c>
      <c r="M13" s="228"/>
      <c r="N13" s="227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120.7314115548163</v>
      </c>
      <c r="W13" s="39" t="s">
        <v>63</v>
      </c>
      <c r="X13" s="6">
        <f>150-V13</f>
        <v>29.268588445183696</v>
      </c>
    </row>
    <row r="14" spans="8:24">
      <c r="H14" s="95"/>
      <c r="I14" s="25" t="s">
        <v>20</v>
      </c>
      <c r="J14" s="81" t="s">
        <v>195</v>
      </c>
      <c r="K14" s="228"/>
      <c r="L14" s="227">
        <f>+K14*3</f>
        <v>0</v>
      </c>
      <c r="M14" s="228"/>
      <c r="N14" s="227">
        <f>+M14*3</f>
        <v>0</v>
      </c>
      <c r="O14" s="28">
        <v>28</v>
      </c>
      <c r="P14" s="75">
        <f t="shared" si="0"/>
        <v>150</v>
      </c>
      <c r="Q14" s="218"/>
      <c r="R14" s="9">
        <f t="shared" si="1"/>
        <v>150</v>
      </c>
      <c r="S14" s="107"/>
      <c r="T14" s="5"/>
      <c r="U14" s="10"/>
      <c r="X14" s="37"/>
    </row>
    <row r="15" spans="8:24">
      <c r="H15" s="95"/>
      <c r="I15" s="25" t="s">
        <v>69</v>
      </c>
      <c r="J15" s="81" t="s">
        <v>196</v>
      </c>
      <c r="K15" s="228"/>
      <c r="L15" s="227">
        <v>0</v>
      </c>
      <c r="M15" s="228"/>
      <c r="N15" s="227">
        <v>0</v>
      </c>
      <c r="O15" s="28"/>
      <c r="P15" s="75"/>
      <c r="Q15" s="218"/>
      <c r="R15" s="11">
        <f t="shared" si="1"/>
        <v>0</v>
      </c>
      <c r="S15" s="107"/>
      <c r="T15" s="5"/>
      <c r="U15" s="92">
        <f>644+150</f>
        <v>794</v>
      </c>
      <c r="V15" s="93">
        <v>0</v>
      </c>
      <c r="W15" s="101">
        <v>769.08</v>
      </c>
      <c r="X15" s="100" t="s">
        <v>21</v>
      </c>
    </row>
    <row r="16" spans="8:24">
      <c r="H16" s="95"/>
      <c r="I16" s="25" t="s">
        <v>25</v>
      </c>
      <c r="J16" s="81" t="s">
        <v>118</v>
      </c>
      <c r="K16" s="228"/>
      <c r="L16" s="227">
        <f>+K16*3</f>
        <v>0</v>
      </c>
      <c r="M16" s="228"/>
      <c r="N16" s="227">
        <f>+M16*3</f>
        <v>0</v>
      </c>
      <c r="O16" s="28">
        <v>22</v>
      </c>
      <c r="P16" s="75">
        <f t="shared" ref="P16:P27" si="2">IF(O16&gt;25,150,(O16)*6)</f>
        <v>132</v>
      </c>
      <c r="Q16" s="218"/>
      <c r="R16" s="11">
        <f t="shared" si="1"/>
        <v>132</v>
      </c>
      <c r="S16" s="107"/>
      <c r="T16" s="5"/>
      <c r="U16" s="30">
        <f>+V16+W16</f>
        <v>720</v>
      </c>
      <c r="V16" s="71">
        <f>+V15*W16/W15</f>
        <v>0</v>
      </c>
      <c r="W16" s="31">
        <v>720</v>
      </c>
      <c r="X16" s="37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228"/>
      <c r="N17" s="227">
        <f>+M17*3</f>
        <v>0</v>
      </c>
      <c r="O17" s="28"/>
      <c r="P17" s="75">
        <f t="shared" si="2"/>
        <v>0</v>
      </c>
      <c r="Q17" s="218"/>
      <c r="R17" s="11">
        <f t="shared" si="1"/>
        <v>0</v>
      </c>
      <c r="S17" s="107"/>
      <c r="T17" s="5"/>
      <c r="U17" s="32">
        <f>+U15-U16</f>
        <v>74</v>
      </c>
      <c r="V17" s="47"/>
      <c r="W17" s="33"/>
      <c r="X17" s="4" t="s">
        <v>59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226"/>
      <c r="N18" s="227">
        <f>5*M18</f>
        <v>0</v>
      </c>
      <c r="O18" s="76"/>
      <c r="P18" s="75">
        <f t="shared" si="2"/>
        <v>0</v>
      </c>
      <c r="Q18" s="217"/>
      <c r="R18" s="11">
        <f t="shared" si="1"/>
        <v>0</v>
      </c>
      <c r="S18" s="106"/>
      <c r="T18" s="5"/>
      <c r="U18" s="34">
        <v>150</v>
      </c>
      <c r="V18" s="38">
        <f>+U18-U17</f>
        <v>76</v>
      </c>
      <c r="W18" s="39" t="s">
        <v>63</v>
      </c>
      <c r="X18" s="6">
        <f>150-V18</f>
        <v>74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228"/>
      <c r="N19" s="227">
        <f>+M19*3</f>
        <v>0</v>
      </c>
      <c r="O19" s="74">
        <v>37</v>
      </c>
      <c r="P19" s="75">
        <f t="shared" si="2"/>
        <v>150</v>
      </c>
      <c r="Q19" s="217"/>
      <c r="R19" s="9">
        <f t="shared" si="1"/>
        <v>150</v>
      </c>
      <c r="S19" s="107"/>
      <c r="T19" s="5"/>
      <c r="U19" s="10"/>
      <c r="X19" s="37"/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228"/>
      <c r="N20" s="227">
        <v>0</v>
      </c>
      <c r="O20" s="74"/>
      <c r="P20" s="75">
        <f t="shared" si="2"/>
        <v>0</v>
      </c>
      <c r="Q20" s="217"/>
      <c r="R20" s="9">
        <f t="shared" si="1"/>
        <v>0</v>
      </c>
      <c r="S20" s="107"/>
      <c r="T20" s="5"/>
      <c r="U20" s="58"/>
      <c r="V20" s="59"/>
      <c r="W20" s="60"/>
      <c r="X20" s="61"/>
    </row>
    <row r="21" spans="1:29">
      <c r="A21" s="215"/>
      <c r="H21" s="142"/>
      <c r="I21" s="25" t="s">
        <v>4</v>
      </c>
      <c r="J21" s="81" t="s">
        <v>111</v>
      </c>
      <c r="K21" s="228"/>
      <c r="L21" s="227">
        <v>0</v>
      </c>
      <c r="M21" s="228"/>
      <c r="N21" s="227">
        <v>0</v>
      </c>
      <c r="O21" s="28">
        <v>29</v>
      </c>
      <c r="P21" s="75">
        <f t="shared" si="2"/>
        <v>150</v>
      </c>
      <c r="Q21" s="218"/>
      <c r="R21" s="11">
        <f t="shared" si="1"/>
        <v>150</v>
      </c>
      <c r="S21" s="107"/>
      <c r="T21" s="5"/>
      <c r="U21" s="103" t="s">
        <v>161</v>
      </c>
    </row>
    <row r="22" spans="1:29">
      <c r="A22" s="215"/>
      <c r="H22" s="201" t="s">
        <v>50</v>
      </c>
      <c r="I22" s="21" t="s">
        <v>9</v>
      </c>
      <c r="J22" s="20" t="s">
        <v>128</v>
      </c>
      <c r="K22" s="229"/>
      <c r="L22" s="230">
        <v>0</v>
      </c>
      <c r="M22" s="229"/>
      <c r="N22" s="230">
        <v>0</v>
      </c>
      <c r="O22" s="23">
        <v>25</v>
      </c>
      <c r="P22" s="24">
        <f t="shared" si="2"/>
        <v>150</v>
      </c>
      <c r="Q22" s="219"/>
      <c r="R22" s="24">
        <f t="shared" si="1"/>
        <v>150</v>
      </c>
      <c r="S22" s="108"/>
      <c r="T22" s="5"/>
      <c r="U22" s="176" t="s">
        <v>158</v>
      </c>
      <c r="V22" s="177" t="s">
        <v>159</v>
      </c>
      <c r="W22" s="178"/>
      <c r="X22" s="174" t="s">
        <v>157</v>
      </c>
    </row>
    <row r="23" spans="1:29">
      <c r="A23" s="237"/>
      <c r="B23" s="237"/>
      <c r="C23" s="237"/>
      <c r="D23" s="238"/>
      <c r="E23" s="237"/>
      <c r="F23" s="239"/>
      <c r="G23" s="237"/>
      <c r="H23" s="142"/>
      <c r="I23" s="25" t="s">
        <v>51</v>
      </c>
      <c r="J23" s="96" t="s">
        <v>134</v>
      </c>
      <c r="K23" s="29"/>
      <c r="L23" s="27">
        <f>+K23*3</f>
        <v>0</v>
      </c>
      <c r="M23" s="28"/>
      <c r="N23" s="11">
        <f>+M23*3</f>
        <v>0</v>
      </c>
      <c r="O23" s="28"/>
      <c r="P23" s="11">
        <f t="shared" si="2"/>
        <v>0</v>
      </c>
      <c r="Q23" s="218"/>
      <c r="R23" s="240">
        <f t="shared" si="1"/>
        <v>0</v>
      </c>
      <c r="S23" s="241"/>
      <c r="T23" s="5"/>
      <c r="U23" s="179">
        <v>43480</v>
      </c>
      <c r="V23" s="170">
        <v>1</v>
      </c>
      <c r="W23" s="180"/>
      <c r="X23" s="33" t="s">
        <v>156</v>
      </c>
    </row>
    <row r="24" spans="1:29">
      <c r="A24" s="215"/>
      <c r="H24" s="83"/>
      <c r="I24" s="126" t="s">
        <v>61</v>
      </c>
      <c r="J24" s="80" t="s">
        <v>137</v>
      </c>
      <c r="K24" s="226"/>
      <c r="L24" s="227">
        <f>3*K24</f>
        <v>0</v>
      </c>
      <c r="M24" s="226"/>
      <c r="N24" s="227">
        <v>0</v>
      </c>
      <c r="O24" s="72"/>
      <c r="P24" s="75">
        <f t="shared" si="2"/>
        <v>0</v>
      </c>
      <c r="Q24" s="217"/>
      <c r="R24" s="11">
        <f t="shared" si="1"/>
        <v>0</v>
      </c>
      <c r="S24" s="106"/>
      <c r="T24" s="5"/>
      <c r="U24" s="179">
        <f>1+U23</f>
        <v>43481</v>
      </c>
      <c r="V24" s="170">
        <v>1</v>
      </c>
      <c r="W24" s="181"/>
      <c r="X24" s="33" t="s">
        <v>151</v>
      </c>
    </row>
    <row r="25" spans="1:29">
      <c r="A25" s="215"/>
      <c r="H25" s="83"/>
      <c r="I25" s="25" t="s">
        <v>14</v>
      </c>
      <c r="J25" s="96" t="s">
        <v>125</v>
      </c>
      <c r="K25" s="228"/>
      <c r="L25" s="227">
        <f>+K25*3</f>
        <v>0</v>
      </c>
      <c r="M25" s="228"/>
      <c r="N25" s="227">
        <v>0</v>
      </c>
      <c r="O25" s="74">
        <v>10</v>
      </c>
      <c r="P25" s="75">
        <f t="shared" si="2"/>
        <v>60</v>
      </c>
      <c r="Q25" s="218"/>
      <c r="R25" s="11">
        <f t="shared" si="1"/>
        <v>60</v>
      </c>
      <c r="S25" s="107"/>
      <c r="T25" s="5"/>
      <c r="U25" s="179">
        <f>1+U24</f>
        <v>43482</v>
      </c>
      <c r="V25" s="170">
        <v>1</v>
      </c>
      <c r="W25" s="182"/>
      <c r="X25" s="33" t="s">
        <v>152</v>
      </c>
    </row>
    <row r="26" spans="1:29">
      <c r="A26" s="215"/>
      <c r="H26" s="83"/>
      <c r="I26" s="126" t="s">
        <v>79</v>
      </c>
      <c r="J26" s="82" t="s">
        <v>110</v>
      </c>
      <c r="K26" s="228"/>
      <c r="L26" s="227">
        <v>0</v>
      </c>
      <c r="M26" s="228"/>
      <c r="N26" s="227">
        <f>3*M26</f>
        <v>0</v>
      </c>
      <c r="O26" s="76">
        <v>37</v>
      </c>
      <c r="P26" s="75">
        <f t="shared" si="2"/>
        <v>150</v>
      </c>
      <c r="Q26" s="217"/>
      <c r="R26" s="11">
        <f t="shared" si="1"/>
        <v>150</v>
      </c>
      <c r="S26" s="106"/>
      <c r="T26" s="5"/>
      <c r="U26" s="179">
        <f>1+U25</f>
        <v>43483</v>
      </c>
      <c r="V26" s="170">
        <v>1</v>
      </c>
      <c r="W26" s="181"/>
      <c r="X26" s="33" t="s">
        <v>153</v>
      </c>
    </row>
    <row r="27" spans="1:29">
      <c r="H27" s="201" t="s">
        <v>50</v>
      </c>
      <c r="I27" s="202" t="s">
        <v>214</v>
      </c>
      <c r="J27" s="236" t="s">
        <v>215</v>
      </c>
      <c r="K27" s="229"/>
      <c r="L27" s="230">
        <v>0</v>
      </c>
      <c r="M27" s="229"/>
      <c r="N27" s="230">
        <v>0</v>
      </c>
      <c r="O27" s="192"/>
      <c r="P27" s="193">
        <f t="shared" si="2"/>
        <v>0</v>
      </c>
      <c r="Q27" s="221"/>
      <c r="R27" s="193">
        <f t="shared" si="1"/>
        <v>0</v>
      </c>
      <c r="S27" s="108"/>
      <c r="T27" s="5"/>
      <c r="U27" s="179">
        <f>1+U26</f>
        <v>43484</v>
      </c>
      <c r="V27" s="170">
        <v>0.5</v>
      </c>
      <c r="W27" s="183"/>
      <c r="X27" s="33" t="s">
        <v>154</v>
      </c>
    </row>
    <row r="28" spans="1:29">
      <c r="A28" s="216"/>
      <c r="B28" s="4"/>
      <c r="C28" s="4"/>
      <c r="D28" s="3"/>
      <c r="E28" s="4"/>
      <c r="F28" s="40"/>
      <c r="G28" s="4"/>
      <c r="H28" s="83"/>
      <c r="I28" s="25" t="s">
        <v>0</v>
      </c>
      <c r="J28" s="81" t="s">
        <v>108</v>
      </c>
      <c r="K28" s="228"/>
      <c r="L28" s="227">
        <f>+K28*5</f>
        <v>0</v>
      </c>
      <c r="M28" s="228"/>
      <c r="N28" s="227">
        <f>+M28*5</f>
        <v>0</v>
      </c>
      <c r="O28" s="74"/>
      <c r="P28" s="75">
        <v>0</v>
      </c>
      <c r="Q28" s="217"/>
      <c r="R28" s="9">
        <f t="shared" si="1"/>
        <v>0</v>
      </c>
      <c r="S28" s="107"/>
      <c r="T28" s="5"/>
      <c r="U28" s="184"/>
      <c r="V28" s="170">
        <f>SUM(V23:V27)</f>
        <v>4.5</v>
      </c>
      <c r="W28" s="183" t="s">
        <v>148</v>
      </c>
      <c r="X28" s="175" t="s">
        <v>155</v>
      </c>
    </row>
    <row r="29" spans="1:29">
      <c r="A29" s="237"/>
      <c r="B29" s="237"/>
      <c r="C29" s="237"/>
      <c r="D29" s="238"/>
      <c r="E29" s="237"/>
      <c r="F29" s="239"/>
      <c r="G29" s="237"/>
      <c r="H29" s="142"/>
      <c r="I29" s="25" t="s">
        <v>45</v>
      </c>
      <c r="J29" s="96" t="s">
        <v>133</v>
      </c>
      <c r="K29" s="29"/>
      <c r="L29" s="27">
        <f>+K29*3</f>
        <v>0</v>
      </c>
      <c r="M29" s="28"/>
      <c r="N29" s="11">
        <f>+M29*3</f>
        <v>0</v>
      </c>
      <c r="O29" s="28">
        <v>28</v>
      </c>
      <c r="P29" s="11">
        <f t="shared" ref="P29:P41" si="3">IF(O29&gt;25,150,(O29)*6)</f>
        <v>150</v>
      </c>
      <c r="Q29" s="218"/>
      <c r="R29" s="240">
        <f t="shared" si="1"/>
        <v>150</v>
      </c>
      <c r="S29" s="241"/>
      <c r="T29" s="5"/>
      <c r="U29" s="184"/>
      <c r="V29" s="171">
        <v>18</v>
      </c>
      <c r="W29" s="185" t="s">
        <v>149</v>
      </c>
      <c r="X29" s="61"/>
    </row>
    <row r="30" spans="1:29" ht="16.5">
      <c r="A30" s="215"/>
      <c r="H30" s="201" t="s">
        <v>50</v>
      </c>
      <c r="I30" s="21" t="s">
        <v>13</v>
      </c>
      <c r="J30" s="20" t="s">
        <v>121</v>
      </c>
      <c r="K30" s="229"/>
      <c r="L30" s="230">
        <f>3*K30</f>
        <v>0</v>
      </c>
      <c r="M30" s="229"/>
      <c r="N30" s="230">
        <v>0</v>
      </c>
      <c r="O30" s="23"/>
      <c r="P30" s="24">
        <f t="shared" si="3"/>
        <v>0</v>
      </c>
      <c r="Q30" s="219"/>
      <c r="R30" s="24">
        <f t="shared" si="1"/>
        <v>0</v>
      </c>
      <c r="S30" s="108"/>
      <c r="T30" s="5"/>
      <c r="U30" s="186" t="s">
        <v>160</v>
      </c>
      <c r="V30" s="172">
        <f>+V29/V28</f>
        <v>4</v>
      </c>
      <c r="W30" s="173" t="s">
        <v>150</v>
      </c>
      <c r="X30" s="61"/>
    </row>
    <row r="31" spans="1:29">
      <c r="A31" s="215"/>
      <c r="H31" s="83"/>
      <c r="I31" s="25" t="s">
        <v>31</v>
      </c>
      <c r="J31" s="81" t="s">
        <v>127</v>
      </c>
      <c r="K31" s="228"/>
      <c r="L31" s="227">
        <v>0</v>
      </c>
      <c r="M31" s="228"/>
      <c r="N31" s="227">
        <v>0</v>
      </c>
      <c r="O31" s="74">
        <v>27</v>
      </c>
      <c r="P31" s="75">
        <f t="shared" si="3"/>
        <v>150</v>
      </c>
      <c r="Q31" s="218"/>
      <c r="R31" s="11">
        <f t="shared" si="1"/>
        <v>150</v>
      </c>
      <c r="S31" s="107"/>
      <c r="T31" s="5"/>
      <c r="U31" s="58"/>
      <c r="V31" s="59"/>
      <c r="W31" s="60"/>
      <c r="X31" s="65"/>
      <c r="AC31">
        <v>4</v>
      </c>
    </row>
    <row r="32" spans="1:29">
      <c r="A32" s="215"/>
      <c r="H32" s="83"/>
      <c r="I32" s="25" t="s">
        <v>30</v>
      </c>
      <c r="J32" s="81" t="s">
        <v>126</v>
      </c>
      <c r="K32" s="228"/>
      <c r="L32" s="227">
        <f>+K32*3</f>
        <v>0</v>
      </c>
      <c r="M32" s="228"/>
      <c r="N32" s="227">
        <f>+M32*3</f>
        <v>0</v>
      </c>
      <c r="O32" s="28">
        <v>30</v>
      </c>
      <c r="P32" s="11">
        <f t="shared" si="3"/>
        <v>150</v>
      </c>
      <c r="Q32" s="218"/>
      <c r="R32" s="11">
        <f t="shared" si="1"/>
        <v>150</v>
      </c>
      <c r="S32" s="107"/>
      <c r="T32" s="5"/>
      <c r="U32" s="58"/>
      <c r="V32" s="66"/>
      <c r="W32" s="67"/>
      <c r="X32" s="66"/>
      <c r="Z32">
        <v>186.44069999999999</v>
      </c>
      <c r="AA32">
        <f>+Z32*0.18</f>
        <v>33.559325999999999</v>
      </c>
      <c r="AB32">
        <f>+Z32+AA32</f>
        <v>220.00002599999999</v>
      </c>
      <c r="AC32">
        <f>+AB32*AC31</f>
        <v>880.00010399999996</v>
      </c>
    </row>
    <row r="33" spans="1:29" s="4" customFormat="1">
      <c r="A33" s="215"/>
      <c r="B33"/>
      <c r="C33"/>
      <c r="D33" s="1"/>
      <c r="E33"/>
      <c r="F33" s="2"/>
      <c r="G33"/>
      <c r="H33" s="201" t="s">
        <v>50</v>
      </c>
      <c r="I33" s="202" t="s">
        <v>186</v>
      </c>
      <c r="J33" s="236" t="s">
        <v>187</v>
      </c>
      <c r="K33" s="229"/>
      <c r="L33" s="230">
        <v>0</v>
      </c>
      <c r="M33" s="229"/>
      <c r="N33" s="230">
        <v>0</v>
      </c>
      <c r="O33" s="192">
        <v>29</v>
      </c>
      <c r="P33" s="193">
        <f t="shared" si="3"/>
        <v>150</v>
      </c>
      <c r="Q33" s="221"/>
      <c r="R33" s="193">
        <f t="shared" si="1"/>
        <v>150</v>
      </c>
      <c r="S33" s="108"/>
      <c r="T33" s="5"/>
      <c r="U33" s="64"/>
      <c r="V33" s="59"/>
      <c r="W33" s="60"/>
      <c r="X33" s="68"/>
      <c r="Z33" s="4">
        <v>206.44069999999999</v>
      </c>
      <c r="AA33">
        <f>+Z33*0.18</f>
        <v>37.159326</v>
      </c>
      <c r="AB33">
        <f>+Z33+AA33</f>
        <v>243.60002599999999</v>
      </c>
      <c r="AC33" s="4">
        <f>+AB33*AC31</f>
        <v>974.40010399999994</v>
      </c>
    </row>
    <row r="34" spans="1:29">
      <c r="A34" s="215"/>
      <c r="H34" s="83"/>
      <c r="I34" s="25" t="s">
        <v>17</v>
      </c>
      <c r="J34" s="81" t="s">
        <v>123</v>
      </c>
      <c r="K34" s="228"/>
      <c r="L34" s="227">
        <f>+K34*3</f>
        <v>0</v>
      </c>
      <c r="M34" s="228"/>
      <c r="N34" s="227">
        <f>+M34*3</f>
        <v>0</v>
      </c>
      <c r="O34" s="74">
        <v>28</v>
      </c>
      <c r="P34" s="75">
        <f t="shared" si="3"/>
        <v>150</v>
      </c>
      <c r="Q34" s="218"/>
      <c r="R34" s="11">
        <f t="shared" si="1"/>
        <v>150</v>
      </c>
      <c r="S34" s="107"/>
      <c r="T34" s="5"/>
      <c r="U34" s="58"/>
      <c r="V34" s="59"/>
      <c r="W34" s="67"/>
      <c r="X34" s="69"/>
      <c r="Z34">
        <f>+Z33-Z32</f>
        <v>20</v>
      </c>
      <c r="AA34">
        <f>+AA33-AA32</f>
        <v>3.6000000000000014</v>
      </c>
      <c r="AB34">
        <f>+AB33-AB32</f>
        <v>23.599999999999994</v>
      </c>
      <c r="AC34">
        <f>+AB34*AC31</f>
        <v>94.399999999999977</v>
      </c>
    </row>
    <row r="35" spans="1:29">
      <c r="A35" s="215"/>
      <c r="H35" s="83"/>
      <c r="I35" s="25" t="s">
        <v>60</v>
      </c>
      <c r="J35" s="81" t="s">
        <v>132</v>
      </c>
      <c r="K35" s="228"/>
      <c r="L35" s="227">
        <v>0</v>
      </c>
      <c r="M35" s="228"/>
      <c r="N35" s="227">
        <v>0</v>
      </c>
      <c r="O35" s="74"/>
      <c r="P35" s="75">
        <f t="shared" si="3"/>
        <v>0</v>
      </c>
      <c r="Q35" s="218"/>
      <c r="R35" s="11">
        <f t="shared" si="1"/>
        <v>0</v>
      </c>
      <c r="S35" s="107"/>
      <c r="T35" s="5"/>
      <c r="U35" s="58"/>
      <c r="V35" s="59"/>
      <c r="W35" s="60"/>
      <c r="X35" s="65"/>
    </row>
    <row r="36" spans="1:29">
      <c r="A36" s="215"/>
      <c r="H36" s="142"/>
      <c r="I36" s="25" t="s">
        <v>8</v>
      </c>
      <c r="J36" s="81" t="s">
        <v>120</v>
      </c>
      <c r="K36" s="228"/>
      <c r="L36" s="227">
        <v>0</v>
      </c>
      <c r="M36" s="228"/>
      <c r="N36" s="227">
        <v>0</v>
      </c>
      <c r="O36" s="28">
        <v>10</v>
      </c>
      <c r="P36" s="75">
        <f t="shared" si="3"/>
        <v>60</v>
      </c>
      <c r="Q36" s="218"/>
      <c r="R36" s="57">
        <f t="shared" si="1"/>
        <v>60</v>
      </c>
      <c r="S36" s="107"/>
      <c r="T36" s="5"/>
      <c r="U36" s="58"/>
      <c r="V36" s="59"/>
      <c r="W36" s="60"/>
      <c r="X36" s="61"/>
    </row>
    <row r="37" spans="1:29">
      <c r="A37" s="215"/>
      <c r="H37" s="83"/>
      <c r="I37" s="25" t="s">
        <v>11</v>
      </c>
      <c r="J37" s="96" t="s">
        <v>130</v>
      </c>
      <c r="K37" s="228"/>
      <c r="L37" s="227">
        <f>+K37*3</f>
        <v>0</v>
      </c>
      <c r="M37" s="228"/>
      <c r="N37" s="227">
        <f>+M37*3</f>
        <v>0</v>
      </c>
      <c r="O37" s="74">
        <v>11</v>
      </c>
      <c r="P37" s="75">
        <f t="shared" si="3"/>
        <v>66</v>
      </c>
      <c r="Q37" s="220"/>
      <c r="R37" s="11">
        <f t="shared" si="1"/>
        <v>66</v>
      </c>
      <c r="S37" s="107"/>
      <c r="T37" s="5"/>
      <c r="U37" s="58"/>
      <c r="V37" s="59"/>
      <c r="W37" s="62"/>
      <c r="X37" s="63"/>
    </row>
    <row r="38" spans="1:29">
      <c r="H38" s="83"/>
      <c r="I38" s="25" t="s">
        <v>44</v>
      </c>
      <c r="J38" s="96" t="s">
        <v>124</v>
      </c>
      <c r="K38" s="228"/>
      <c r="L38" s="227">
        <f>+K38*3</f>
        <v>0</v>
      </c>
      <c r="M38" s="228"/>
      <c r="N38" s="227">
        <f>+M38*3</f>
        <v>0</v>
      </c>
      <c r="O38" s="113"/>
      <c r="P38" s="75">
        <f t="shared" si="3"/>
        <v>0</v>
      </c>
      <c r="Q38" s="218"/>
      <c r="R38" s="11">
        <f t="shared" si="1"/>
        <v>0</v>
      </c>
      <c r="S38" s="107"/>
      <c r="T38" s="5"/>
      <c r="U38" s="58"/>
      <c r="V38" s="59"/>
      <c r="W38" s="67"/>
      <c r="X38" s="66"/>
    </row>
    <row r="39" spans="1:29">
      <c r="H39" s="201" t="s">
        <v>50</v>
      </c>
      <c r="I39" s="21" t="s">
        <v>6</v>
      </c>
      <c r="J39" s="20" t="s">
        <v>116</v>
      </c>
      <c r="K39" s="229"/>
      <c r="L39" s="230">
        <f>+K39*3</f>
        <v>0</v>
      </c>
      <c r="M39" s="229"/>
      <c r="N39" s="230">
        <f>+M39*3</f>
        <v>0</v>
      </c>
      <c r="O39" s="23">
        <v>22</v>
      </c>
      <c r="P39" s="24">
        <f t="shared" si="3"/>
        <v>132</v>
      </c>
      <c r="Q39" s="219"/>
      <c r="R39" s="24">
        <f t="shared" si="1"/>
        <v>132</v>
      </c>
      <c r="S39" s="108"/>
      <c r="T39" s="5"/>
      <c r="U39" s="58"/>
      <c r="V39" s="59"/>
      <c r="W39" s="60"/>
      <c r="X39" s="65"/>
    </row>
    <row r="40" spans="1:29">
      <c r="H40" s="95"/>
      <c r="I40" s="25" t="s">
        <v>53</v>
      </c>
      <c r="J40" s="81" t="s">
        <v>135</v>
      </c>
      <c r="K40" s="228"/>
      <c r="L40" s="227">
        <v>0</v>
      </c>
      <c r="M40" s="228"/>
      <c r="N40" s="227">
        <v>0</v>
      </c>
      <c r="O40" s="28">
        <v>26</v>
      </c>
      <c r="P40" s="75">
        <f t="shared" si="3"/>
        <v>150</v>
      </c>
      <c r="Q40" s="218"/>
      <c r="R40" s="11">
        <f t="shared" si="1"/>
        <v>150</v>
      </c>
      <c r="S40" s="107"/>
      <c r="T40" s="5"/>
      <c r="U40" s="58"/>
      <c r="V40" s="59"/>
      <c r="W40" s="60"/>
      <c r="X40" s="65"/>
    </row>
    <row r="41" spans="1:29">
      <c r="H41" s="81"/>
      <c r="I41" s="120" t="s">
        <v>12</v>
      </c>
      <c r="J41" s="150" t="s">
        <v>114</v>
      </c>
      <c r="K41" s="232"/>
      <c r="L41" s="233">
        <v>0</v>
      </c>
      <c r="M41" s="232"/>
      <c r="N41" s="233">
        <v>0</v>
      </c>
      <c r="O41" s="122"/>
      <c r="P41" s="147">
        <f t="shared" si="3"/>
        <v>0</v>
      </c>
      <c r="Q41" s="222"/>
      <c r="R41" s="124">
        <f t="shared" si="1"/>
        <v>0</v>
      </c>
      <c r="S41" s="148"/>
      <c r="T41" s="5"/>
      <c r="U41" s="58"/>
      <c r="V41" s="59"/>
      <c r="W41" s="60"/>
      <c r="X41" s="61"/>
    </row>
    <row r="42" spans="1:29">
      <c r="I42" s="13"/>
      <c r="J42" s="14"/>
      <c r="K42" s="234">
        <f t="shared" ref="K42:S42" si="4">SUM(K5:K41)</f>
        <v>0</v>
      </c>
      <c r="L42" s="235">
        <f t="shared" si="4"/>
        <v>0</v>
      </c>
      <c r="M42" s="234">
        <f t="shared" si="4"/>
        <v>0</v>
      </c>
      <c r="N42" s="235">
        <f t="shared" si="4"/>
        <v>0</v>
      </c>
      <c r="O42" s="77">
        <f t="shared" si="4"/>
        <v>543</v>
      </c>
      <c r="P42" s="78">
        <f t="shared" si="4"/>
        <v>2838</v>
      </c>
      <c r="Q42" s="223">
        <f t="shared" si="4"/>
        <v>0</v>
      </c>
      <c r="R42" s="78">
        <f t="shared" si="4"/>
        <v>2838</v>
      </c>
      <c r="S42" s="102">
        <f t="shared" si="4"/>
        <v>0</v>
      </c>
      <c r="T42" s="5"/>
      <c r="U42" s="58"/>
      <c r="V42" s="59"/>
      <c r="W42" s="60"/>
      <c r="X42" s="61"/>
    </row>
    <row r="43" spans="1:29">
      <c r="J43" s="200">
        <f ca="1">TODAY()</f>
        <v>43825</v>
      </c>
      <c r="K43" s="41"/>
      <c r="M43" s="42"/>
      <c r="N43" s="41"/>
      <c r="O43" s="45" t="s">
        <v>81</v>
      </c>
      <c r="Q43" s="42"/>
      <c r="R43" s="45">
        <f>+R10+R22+R27+R30+R33+R39</f>
        <v>432</v>
      </c>
      <c r="T43" s="5"/>
      <c r="U43" s="58"/>
      <c r="V43" s="59"/>
      <c r="W43" s="60"/>
      <c r="X43" s="65"/>
    </row>
    <row r="44" spans="1:29">
      <c r="L44" s="43"/>
      <c r="M44" s="44"/>
      <c r="N44" s="125"/>
      <c r="O44" s="43" t="s">
        <v>91</v>
      </c>
      <c r="P44" s="114"/>
      <c r="Q44" s="110" t="s">
        <v>58</v>
      </c>
      <c r="R44" s="111">
        <f>+R42-R43</f>
        <v>2406</v>
      </c>
      <c r="S44" s="109"/>
      <c r="T44" s="5"/>
      <c r="U44" s="58"/>
      <c r="V44" s="59"/>
      <c r="W44" s="62"/>
      <c r="X44" s="60"/>
    </row>
    <row r="45" spans="1:29" ht="3.95" customHeight="1">
      <c r="P45" s="19"/>
      <c r="U45" s="58"/>
      <c r="V45" s="59"/>
      <c r="W45" s="62"/>
      <c r="X45" s="60"/>
    </row>
    <row r="46" spans="1:29">
      <c r="I46" s="224" t="s">
        <v>199</v>
      </c>
      <c r="P46" s="19"/>
      <c r="U46" s="64"/>
      <c r="V46" s="59"/>
      <c r="W46" s="60"/>
      <c r="X46" s="68"/>
    </row>
    <row r="47" spans="1:29">
      <c r="I47" s="224" t="s">
        <v>200</v>
      </c>
      <c r="P47" s="19"/>
      <c r="U47" s="58"/>
      <c r="V47" s="66"/>
      <c r="W47" s="67"/>
      <c r="X47" s="69"/>
    </row>
    <row r="48" spans="1:29">
      <c r="I48" s="224" t="s">
        <v>201</v>
      </c>
      <c r="P48" s="19"/>
      <c r="U48" s="60"/>
      <c r="V48" s="59"/>
      <c r="W48" s="60"/>
      <c r="X48" s="60"/>
    </row>
    <row r="49" spans="9:24">
      <c r="I49" s="224" t="s">
        <v>202</v>
      </c>
      <c r="P49" s="19"/>
      <c r="U49" s="60"/>
      <c r="V49" s="59"/>
      <c r="W49" s="60"/>
      <c r="X49" s="60"/>
    </row>
    <row r="50" spans="9:24">
      <c r="I50" s="224" t="s">
        <v>203</v>
      </c>
      <c r="P50" s="19"/>
      <c r="U50" s="60"/>
      <c r="V50" s="59"/>
      <c r="W50" s="60"/>
      <c r="X50" s="60"/>
    </row>
    <row r="51" spans="9:24">
      <c r="I51" s="224" t="s">
        <v>204</v>
      </c>
      <c r="U51" s="60"/>
      <c r="V51" s="59"/>
      <c r="W51" s="60"/>
      <c r="X51" s="60"/>
    </row>
    <row r="52" spans="9:24">
      <c r="I52" s="224" t="s">
        <v>205</v>
      </c>
      <c r="P52" s="19"/>
      <c r="U52" s="60"/>
      <c r="V52" s="59"/>
      <c r="W52" s="60"/>
      <c r="X52" s="60"/>
    </row>
    <row r="53" spans="9:24" ht="3.95" customHeight="1">
      <c r="I53" s="224" t="s">
        <v>206</v>
      </c>
      <c r="P53" s="19"/>
      <c r="U53" s="60"/>
      <c r="V53" s="59"/>
      <c r="W53" s="60"/>
      <c r="X53" s="60"/>
    </row>
    <row r="54" spans="9:24">
      <c r="P54" s="19"/>
      <c r="U54" s="60"/>
      <c r="V54" s="59"/>
      <c r="W54" s="60"/>
      <c r="X54" s="60"/>
    </row>
    <row r="55" spans="9:24">
      <c r="U55" s="60"/>
      <c r="V55" s="59"/>
      <c r="W55" s="60"/>
      <c r="X55" s="60"/>
    </row>
  </sheetData>
  <mergeCells count="4">
    <mergeCell ref="I2:R2"/>
    <mergeCell ref="K3:N3"/>
    <mergeCell ref="O3:P3"/>
    <mergeCell ref="T3:V3"/>
  </mergeCells>
  <conditionalFormatting sqref="R5">
    <cfRule type="cellIs" dxfId="40" priority="3" operator="lessThanOrEqual">
      <formula>0</formula>
    </cfRule>
  </conditionalFormatting>
  <conditionalFormatting sqref="R40:R41 R5:R38">
    <cfRule type="cellIs" dxfId="39" priority="2" operator="greaterThan">
      <formula>0</formula>
    </cfRule>
  </conditionalFormatting>
  <conditionalFormatting sqref="R39">
    <cfRule type="cellIs" dxfId="38" priority="1" operator="greaterThan">
      <formula>0</formula>
    </cfRule>
  </conditionalFormatting>
  <printOptions horizontalCentered="1"/>
  <pageMargins left="0" right="0" top="0.83" bottom="0" header="0" footer="0"/>
  <pageSetup paperSize="9" scale="93" orientation="portrait" r:id="rId1"/>
  <ignoredErrors>
    <ignoredError sqref="L27 L18 N18 L19 N19 L20 N20 L21 N21 L22 N22 L23 N23 L24 N24 L25 N25 L26 N26 N27" formula="1"/>
  </ignoredErrors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55"/>
  <sheetViews>
    <sheetView zoomScale="85" zoomScaleNormal="85" workbookViewId="0">
      <pane xSplit="10" ySplit="4" topLeftCell="K44" activePane="bottomRight" state="frozen"/>
      <selection pane="topRight" activeCell="K1" sqref="K1"/>
      <selection pane="bottomLeft" activeCell="A5" sqref="A5"/>
      <selection pane="bottomRight" activeCell="V83" sqref="V83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5.42578125" customWidth="1"/>
    <col min="9" max="9" width="7.7109375" customWidth="1"/>
    <col min="10" max="10" width="23" customWidth="1"/>
    <col min="11" max="11" width="4.7109375" customWidth="1"/>
    <col min="12" max="12" width="5.7109375" customWidth="1"/>
    <col min="13" max="13" width="6.140625" customWidth="1"/>
    <col min="14" max="14" width="11.28515625" customWidth="1"/>
    <col min="15" max="15" width="6.140625" customWidth="1"/>
    <col min="16" max="16" width="11.42578125" customWidth="1"/>
    <col min="17" max="17" width="6.7109375" customWidth="1"/>
    <col min="18" max="18" width="13.85546875" customWidth="1"/>
    <col min="19" max="19" width="5.710937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4" ht="5.0999999999999996" customHeight="1"/>
    <row r="2" spans="8:24">
      <c r="H2" s="83"/>
      <c r="I2" s="439" t="s">
        <v>217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4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4" ht="42.75" customHeight="1">
      <c r="H4" s="83" t="s">
        <v>143</v>
      </c>
      <c r="I4" s="86" t="s">
        <v>7</v>
      </c>
      <c r="J4" s="86" t="s">
        <v>3</v>
      </c>
      <c r="K4" s="225" t="s">
        <v>15</v>
      </c>
      <c r="L4" s="225" t="s">
        <v>208</v>
      </c>
      <c r="M4" s="225" t="s">
        <v>15</v>
      </c>
      <c r="N4" s="225" t="s">
        <v>216</v>
      </c>
      <c r="O4" s="87" t="s">
        <v>15</v>
      </c>
      <c r="P4" s="87" t="s">
        <v>219</v>
      </c>
      <c r="Q4" s="99" t="s">
        <v>218</v>
      </c>
      <c r="R4" s="88" t="s">
        <v>103</v>
      </c>
      <c r="S4" s="139" t="s">
        <v>104</v>
      </c>
      <c r="T4" s="89"/>
      <c r="U4" s="83"/>
      <c r="V4" s="83"/>
    </row>
    <row r="5" spans="8:24">
      <c r="H5" s="83"/>
      <c r="I5" s="126" t="s">
        <v>5</v>
      </c>
      <c r="J5" s="80" t="s">
        <v>117</v>
      </c>
      <c r="K5" s="226"/>
      <c r="L5" s="227">
        <f>+K5*3</f>
        <v>0</v>
      </c>
      <c r="M5" s="226"/>
      <c r="N5" s="227">
        <f>+M5*3</f>
        <v>0</v>
      </c>
      <c r="O5" s="76">
        <v>43</v>
      </c>
      <c r="P5" s="75">
        <f t="shared" ref="P5:P14" si="0">IF(O5&gt;25,150,(O5)*6)</f>
        <v>150</v>
      </c>
      <c r="Q5" s="217"/>
      <c r="R5" s="11">
        <f t="shared" ref="R5:R41" si="1">+L5+N5+P5+Q5</f>
        <v>150</v>
      </c>
      <c r="S5" s="106"/>
      <c r="T5" s="5"/>
      <c r="U5" s="92">
        <v>828</v>
      </c>
      <c r="V5" s="93">
        <v>107.64</v>
      </c>
      <c r="W5" s="94">
        <v>720.36</v>
      </c>
      <c r="X5" s="70" t="s">
        <v>36</v>
      </c>
    </row>
    <row r="6" spans="8:24">
      <c r="H6" s="83"/>
      <c r="I6" s="126" t="s">
        <v>82</v>
      </c>
      <c r="J6" s="80" t="s">
        <v>141</v>
      </c>
      <c r="K6" s="226"/>
      <c r="L6" s="227">
        <f>+K6*3</f>
        <v>0</v>
      </c>
      <c r="M6" s="226"/>
      <c r="N6" s="227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0">
        <f>+V6+W6</f>
        <v>827.58620689655174</v>
      </c>
      <c r="V6" s="71">
        <f>+V5*W6/W5</f>
        <v>107.58620689655173</v>
      </c>
      <c r="W6" s="31">
        <v>720</v>
      </c>
      <c r="X6" s="36"/>
    </row>
    <row r="7" spans="8:24">
      <c r="H7" s="83"/>
      <c r="I7" s="126" t="s">
        <v>64</v>
      </c>
      <c r="J7" s="80" t="s">
        <v>138</v>
      </c>
      <c r="K7" s="226"/>
      <c r="L7" s="227">
        <f>+K7*3</f>
        <v>0</v>
      </c>
      <c r="M7" s="226"/>
      <c r="N7" s="227">
        <v>0</v>
      </c>
      <c r="O7" s="76"/>
      <c r="P7" s="75">
        <f t="shared" si="0"/>
        <v>0</v>
      </c>
      <c r="Q7" s="217"/>
      <c r="R7" s="11">
        <f t="shared" si="1"/>
        <v>0</v>
      </c>
      <c r="S7" s="106"/>
      <c r="T7" s="5"/>
      <c r="U7" s="32">
        <f>+U5-U6</f>
        <v>0.41379310344825626</v>
      </c>
      <c r="V7" s="47"/>
      <c r="W7" s="33"/>
      <c r="X7" s="4" t="s">
        <v>59</v>
      </c>
    </row>
    <row r="8" spans="8:24">
      <c r="H8" s="83"/>
      <c r="I8" s="25" t="s">
        <v>2</v>
      </c>
      <c r="J8" s="81" t="s">
        <v>107</v>
      </c>
      <c r="K8" s="228"/>
      <c r="L8" s="227">
        <f>+K8*3</f>
        <v>0</v>
      </c>
      <c r="M8" s="228"/>
      <c r="N8" s="227">
        <f>+M8*3</f>
        <v>0</v>
      </c>
      <c r="O8" s="74">
        <v>10</v>
      </c>
      <c r="P8" s="75">
        <f t="shared" si="0"/>
        <v>60</v>
      </c>
      <c r="Q8" s="217"/>
      <c r="R8" s="11">
        <f t="shared" si="1"/>
        <v>60</v>
      </c>
      <c r="S8" s="138"/>
      <c r="T8" s="5"/>
      <c r="U8" s="34">
        <v>150</v>
      </c>
      <c r="V8" s="38">
        <f>+U8-U7</f>
        <v>149.58620689655174</v>
      </c>
      <c r="W8" s="39" t="s">
        <v>63</v>
      </c>
      <c r="X8" s="6">
        <f>150-V8</f>
        <v>0.41379310344825626</v>
      </c>
    </row>
    <row r="9" spans="8:24">
      <c r="H9" s="95"/>
      <c r="I9" s="25" t="s">
        <v>42</v>
      </c>
      <c r="J9" s="81" t="s">
        <v>119</v>
      </c>
      <c r="K9" s="228"/>
      <c r="L9" s="227">
        <f>+K9*3</f>
        <v>0</v>
      </c>
      <c r="M9" s="228"/>
      <c r="N9" s="227">
        <f>+M9*3</f>
        <v>0</v>
      </c>
      <c r="O9" s="28">
        <v>26</v>
      </c>
      <c r="P9" s="75">
        <f t="shared" si="0"/>
        <v>150</v>
      </c>
      <c r="Q9" s="218"/>
      <c r="R9" s="11">
        <f t="shared" si="1"/>
        <v>150</v>
      </c>
      <c r="S9" s="107"/>
      <c r="T9" s="5"/>
      <c r="U9" s="10"/>
      <c r="X9" s="37"/>
    </row>
    <row r="10" spans="8:24" ht="15" customHeight="1">
      <c r="H10" s="83"/>
      <c r="I10" s="25" t="s">
        <v>1</v>
      </c>
      <c r="J10" s="81" t="s">
        <v>106</v>
      </c>
      <c r="K10" s="228"/>
      <c r="L10" s="227">
        <f>3*K10</f>
        <v>0</v>
      </c>
      <c r="M10" s="228"/>
      <c r="N10" s="227">
        <f>3*M10</f>
        <v>0</v>
      </c>
      <c r="O10" s="74"/>
      <c r="P10" s="75">
        <f t="shared" si="0"/>
        <v>0</v>
      </c>
      <c r="Q10" s="217"/>
      <c r="R10" s="9">
        <f t="shared" si="1"/>
        <v>0</v>
      </c>
      <c r="S10" s="107"/>
      <c r="T10" s="5"/>
      <c r="U10" s="92">
        <v>856</v>
      </c>
      <c r="V10" s="93">
        <v>110.51</v>
      </c>
      <c r="W10" s="94">
        <v>745.49</v>
      </c>
      <c r="X10" s="70" t="s">
        <v>35</v>
      </c>
    </row>
    <row r="11" spans="8:24">
      <c r="H11" s="141"/>
      <c r="I11" s="126" t="s">
        <v>56</v>
      </c>
      <c r="J11" s="80" t="s">
        <v>136</v>
      </c>
      <c r="K11" s="226"/>
      <c r="L11" s="227">
        <v>0</v>
      </c>
      <c r="M11" s="226"/>
      <c r="N11" s="227">
        <v>0</v>
      </c>
      <c r="O11" s="74">
        <v>30</v>
      </c>
      <c r="P11" s="75">
        <f t="shared" si="0"/>
        <v>150</v>
      </c>
      <c r="Q11" s="217"/>
      <c r="R11" s="9">
        <f t="shared" si="1"/>
        <v>150</v>
      </c>
      <c r="S11" s="107"/>
      <c r="T11" s="5"/>
      <c r="U11" s="30">
        <f>+V11+W11</f>
        <v>826.7314115548163</v>
      </c>
      <c r="V11" s="71">
        <f>+V10*W11/W10</f>
        <v>106.73141155481629</v>
      </c>
      <c r="W11" s="31">
        <v>720</v>
      </c>
      <c r="X11" s="37"/>
    </row>
    <row r="12" spans="8:24">
      <c r="H12" s="95"/>
      <c r="I12" s="25" t="s">
        <v>16</v>
      </c>
      <c r="J12" s="81" t="s">
        <v>113</v>
      </c>
      <c r="K12" s="228"/>
      <c r="L12" s="227">
        <v>0</v>
      </c>
      <c r="M12" s="228"/>
      <c r="N12" s="227">
        <v>0</v>
      </c>
      <c r="O12" s="28">
        <v>26</v>
      </c>
      <c r="P12" s="75">
        <f t="shared" si="0"/>
        <v>150</v>
      </c>
      <c r="Q12" s="218"/>
      <c r="R12" s="9">
        <f t="shared" si="1"/>
        <v>150</v>
      </c>
      <c r="S12" s="106"/>
      <c r="T12" s="5"/>
      <c r="U12" s="32">
        <f>+U10-U11</f>
        <v>29.268588445183696</v>
      </c>
      <c r="V12" s="47"/>
      <c r="W12" s="33"/>
      <c r="X12" s="4" t="s">
        <v>59</v>
      </c>
    </row>
    <row r="13" spans="8:24">
      <c r="H13" s="83"/>
      <c r="I13" s="25" t="s">
        <v>92</v>
      </c>
      <c r="J13" s="81" t="s">
        <v>109</v>
      </c>
      <c r="K13" s="228"/>
      <c r="L13" s="227">
        <v>0</v>
      </c>
      <c r="M13" s="228"/>
      <c r="N13" s="227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120.7314115548163</v>
      </c>
      <c r="W13" s="39" t="s">
        <v>63</v>
      </c>
      <c r="X13" s="6">
        <f>150-V13</f>
        <v>29.268588445183696</v>
      </c>
    </row>
    <row r="14" spans="8:24">
      <c r="H14" s="95"/>
      <c r="I14" s="25" t="s">
        <v>20</v>
      </c>
      <c r="J14" s="81" t="s">
        <v>195</v>
      </c>
      <c r="K14" s="228"/>
      <c r="L14" s="227">
        <f>+K14*3</f>
        <v>0</v>
      </c>
      <c r="M14" s="228"/>
      <c r="N14" s="227">
        <f>+M14*3</f>
        <v>0</v>
      </c>
      <c r="O14" s="28"/>
      <c r="P14" s="75">
        <f t="shared" si="0"/>
        <v>0</v>
      </c>
      <c r="Q14" s="218"/>
      <c r="R14" s="9">
        <f t="shared" si="1"/>
        <v>0</v>
      </c>
      <c r="S14" s="107"/>
      <c r="T14" s="5"/>
      <c r="U14" s="10"/>
      <c r="X14" s="37"/>
    </row>
    <row r="15" spans="8:24">
      <c r="H15" s="95"/>
      <c r="I15" s="25" t="s">
        <v>69</v>
      </c>
      <c r="J15" s="81" t="s">
        <v>196</v>
      </c>
      <c r="K15" s="228"/>
      <c r="L15" s="227">
        <v>0</v>
      </c>
      <c r="M15" s="228"/>
      <c r="N15" s="227">
        <v>0</v>
      </c>
      <c r="O15" s="28"/>
      <c r="P15" s="75"/>
      <c r="Q15" s="218"/>
      <c r="R15" s="11">
        <f t="shared" si="1"/>
        <v>0</v>
      </c>
      <c r="S15" s="107"/>
      <c r="T15" s="5"/>
      <c r="U15" s="92">
        <f>644+150</f>
        <v>794</v>
      </c>
      <c r="V15" s="93">
        <v>0</v>
      </c>
      <c r="W15" s="101">
        <v>769.08</v>
      </c>
      <c r="X15" s="100" t="s">
        <v>21</v>
      </c>
    </row>
    <row r="16" spans="8:24">
      <c r="H16" s="95"/>
      <c r="I16" s="25" t="s">
        <v>25</v>
      </c>
      <c r="J16" s="81" t="s">
        <v>118</v>
      </c>
      <c r="K16" s="228"/>
      <c r="L16" s="227">
        <f>+K16*3</f>
        <v>0</v>
      </c>
      <c r="M16" s="228"/>
      <c r="N16" s="227">
        <f>+M16*3</f>
        <v>0</v>
      </c>
      <c r="O16" s="28">
        <v>23</v>
      </c>
      <c r="P16" s="75">
        <f t="shared" ref="P16:P27" si="2">IF(O16&gt;25,150,(O16)*6)</f>
        <v>138</v>
      </c>
      <c r="Q16" s="218"/>
      <c r="R16" s="11">
        <f t="shared" si="1"/>
        <v>138</v>
      </c>
      <c r="S16" s="107"/>
      <c r="T16" s="5"/>
      <c r="U16" s="30">
        <f>+V16+W16</f>
        <v>720</v>
      </c>
      <c r="V16" s="71">
        <f>+V15*W16/W15</f>
        <v>0</v>
      </c>
      <c r="W16" s="31">
        <v>720</v>
      </c>
      <c r="X16" s="37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228"/>
      <c r="N17" s="227">
        <f>+M17*3</f>
        <v>0</v>
      </c>
      <c r="O17" s="28"/>
      <c r="P17" s="75">
        <f t="shared" si="2"/>
        <v>0</v>
      </c>
      <c r="Q17" s="218"/>
      <c r="R17" s="11">
        <f t="shared" si="1"/>
        <v>0</v>
      </c>
      <c r="S17" s="107"/>
      <c r="T17" s="5"/>
      <c r="U17" s="32">
        <f>+U15-U16</f>
        <v>74</v>
      </c>
      <c r="V17" s="47"/>
      <c r="W17" s="33"/>
      <c r="X17" s="4" t="s">
        <v>59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226"/>
      <c r="N18" s="227">
        <f>5*M18</f>
        <v>0</v>
      </c>
      <c r="O18" s="76"/>
      <c r="P18" s="75">
        <f t="shared" si="2"/>
        <v>0</v>
      </c>
      <c r="Q18" s="217"/>
      <c r="R18" s="11">
        <f t="shared" si="1"/>
        <v>0</v>
      </c>
      <c r="S18" s="106"/>
      <c r="T18" s="5"/>
      <c r="U18" s="34">
        <v>150</v>
      </c>
      <c r="V18" s="38">
        <f>+U18-U17</f>
        <v>76</v>
      </c>
      <c r="W18" s="39" t="s">
        <v>63</v>
      </c>
      <c r="X18" s="6">
        <f>150-V18</f>
        <v>74</v>
      </c>
    </row>
    <row r="19" spans="1:29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228"/>
      <c r="N19" s="227">
        <f>+M19*3</f>
        <v>0</v>
      </c>
      <c r="O19" s="74">
        <v>39</v>
      </c>
      <c r="P19" s="75">
        <f t="shared" si="2"/>
        <v>150</v>
      </c>
      <c r="Q19" s="217"/>
      <c r="R19" s="9">
        <f t="shared" si="1"/>
        <v>150</v>
      </c>
      <c r="S19" s="107"/>
      <c r="T19" s="5"/>
      <c r="U19" s="10"/>
      <c r="X19" s="37"/>
    </row>
    <row r="20" spans="1:29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228"/>
      <c r="N20" s="227">
        <v>0</v>
      </c>
      <c r="O20" s="74"/>
      <c r="P20" s="75">
        <f t="shared" si="2"/>
        <v>0</v>
      </c>
      <c r="Q20" s="217"/>
      <c r="R20" s="9">
        <f t="shared" si="1"/>
        <v>0</v>
      </c>
      <c r="S20" s="107"/>
      <c r="T20" s="5"/>
      <c r="U20" s="58"/>
      <c r="V20" s="59"/>
      <c r="W20" s="60"/>
      <c r="X20" s="61"/>
    </row>
    <row r="21" spans="1:29">
      <c r="A21" s="215"/>
      <c r="H21" s="142"/>
      <c r="I21" s="25" t="s">
        <v>4</v>
      </c>
      <c r="J21" s="81" t="s">
        <v>111</v>
      </c>
      <c r="K21" s="228"/>
      <c r="L21" s="227">
        <v>0</v>
      </c>
      <c r="M21" s="228"/>
      <c r="N21" s="227">
        <v>0</v>
      </c>
      <c r="O21" s="28">
        <v>24</v>
      </c>
      <c r="P21" s="75">
        <f t="shared" si="2"/>
        <v>144</v>
      </c>
      <c r="Q21" s="218"/>
      <c r="R21" s="11">
        <f t="shared" si="1"/>
        <v>144</v>
      </c>
      <c r="S21" s="107"/>
      <c r="T21" s="5"/>
      <c r="U21" s="103" t="s">
        <v>161</v>
      </c>
    </row>
    <row r="22" spans="1:29">
      <c r="A22" s="215"/>
      <c r="H22" s="201" t="s">
        <v>50</v>
      </c>
      <c r="I22" s="21" t="s">
        <v>9</v>
      </c>
      <c r="J22" s="20" t="s">
        <v>128</v>
      </c>
      <c r="K22" s="229"/>
      <c r="L22" s="230">
        <v>0</v>
      </c>
      <c r="M22" s="229"/>
      <c r="N22" s="230">
        <v>0</v>
      </c>
      <c r="O22" s="23">
        <v>16</v>
      </c>
      <c r="P22" s="24">
        <f t="shared" si="2"/>
        <v>96</v>
      </c>
      <c r="Q22" s="219"/>
      <c r="R22" s="24">
        <f t="shared" si="1"/>
        <v>96</v>
      </c>
      <c r="S22" s="108"/>
      <c r="T22" s="5"/>
      <c r="U22" s="176" t="s">
        <v>158</v>
      </c>
      <c r="V22" s="177" t="s">
        <v>159</v>
      </c>
      <c r="W22" s="178"/>
      <c r="X22" s="174" t="s">
        <v>157</v>
      </c>
    </row>
    <row r="23" spans="1:29">
      <c r="A23" s="215"/>
      <c r="H23" s="214" t="s">
        <v>164</v>
      </c>
      <c r="I23" s="188" t="s">
        <v>51</v>
      </c>
      <c r="J23" s="189" t="s">
        <v>134</v>
      </c>
      <c r="K23" s="231"/>
      <c r="L23" s="56">
        <f>+K23*3</f>
        <v>0</v>
      </c>
      <c r="M23" s="229"/>
      <c r="N23" s="230">
        <f>+M23*3</f>
        <v>0</v>
      </c>
      <c r="O23" s="192">
        <v>36</v>
      </c>
      <c r="P23" s="193">
        <f t="shared" si="2"/>
        <v>150</v>
      </c>
      <c r="Q23" s="221"/>
      <c r="R23" s="196">
        <f t="shared" si="1"/>
        <v>150</v>
      </c>
      <c r="S23" s="197"/>
      <c r="T23" s="5"/>
      <c r="U23" s="179">
        <v>43480</v>
      </c>
      <c r="V23" s="170">
        <v>1</v>
      </c>
      <c r="W23" s="180"/>
      <c r="X23" s="33" t="s">
        <v>156</v>
      </c>
    </row>
    <row r="24" spans="1:29">
      <c r="A24" s="215"/>
      <c r="H24" s="83"/>
      <c r="I24" s="126" t="s">
        <v>61</v>
      </c>
      <c r="J24" s="80" t="s">
        <v>137</v>
      </c>
      <c r="K24" s="226"/>
      <c r="L24" s="227">
        <f>3*K24</f>
        <v>0</v>
      </c>
      <c r="M24" s="226"/>
      <c r="N24" s="227">
        <v>0</v>
      </c>
      <c r="O24" s="72"/>
      <c r="P24" s="75">
        <f t="shared" si="2"/>
        <v>0</v>
      </c>
      <c r="Q24" s="217"/>
      <c r="R24" s="11">
        <f t="shared" si="1"/>
        <v>0</v>
      </c>
      <c r="S24" s="106"/>
      <c r="T24" s="5"/>
      <c r="U24" s="179">
        <f>1+U23</f>
        <v>43481</v>
      </c>
      <c r="V24" s="170">
        <v>1</v>
      </c>
      <c r="W24" s="181"/>
      <c r="X24" s="33" t="s">
        <v>151</v>
      </c>
    </row>
    <row r="25" spans="1:29">
      <c r="A25" s="215"/>
      <c r="H25" s="83"/>
      <c r="I25" s="25" t="s">
        <v>14</v>
      </c>
      <c r="J25" s="96" t="s">
        <v>125</v>
      </c>
      <c r="K25" s="228"/>
      <c r="L25" s="227">
        <f>+K25*3</f>
        <v>0</v>
      </c>
      <c r="M25" s="228"/>
      <c r="N25" s="227">
        <v>0</v>
      </c>
      <c r="O25" s="74">
        <v>22</v>
      </c>
      <c r="P25" s="75">
        <f t="shared" si="2"/>
        <v>132</v>
      </c>
      <c r="Q25" s="218"/>
      <c r="R25" s="11">
        <f t="shared" si="1"/>
        <v>132</v>
      </c>
      <c r="S25" s="107"/>
      <c r="T25" s="5"/>
      <c r="U25" s="179">
        <f>1+U24</f>
        <v>43482</v>
      </c>
      <c r="V25" s="170">
        <v>1</v>
      </c>
      <c r="W25" s="182"/>
      <c r="X25" s="33" t="s">
        <v>152</v>
      </c>
    </row>
    <row r="26" spans="1:29">
      <c r="A26" s="215"/>
      <c r="H26" s="83"/>
      <c r="I26" s="126" t="s">
        <v>79</v>
      </c>
      <c r="J26" s="82" t="s">
        <v>110</v>
      </c>
      <c r="K26" s="228"/>
      <c r="L26" s="227">
        <v>0</v>
      </c>
      <c r="M26" s="228"/>
      <c r="N26" s="227">
        <f>3*M26</f>
        <v>0</v>
      </c>
      <c r="O26" s="76">
        <v>33</v>
      </c>
      <c r="P26" s="75">
        <f t="shared" si="2"/>
        <v>150</v>
      </c>
      <c r="Q26" s="217"/>
      <c r="R26" s="11">
        <f t="shared" si="1"/>
        <v>150</v>
      </c>
      <c r="S26" s="106"/>
      <c r="T26" s="5"/>
      <c r="U26" s="179">
        <f>1+U25</f>
        <v>43483</v>
      </c>
      <c r="V26" s="170">
        <v>1</v>
      </c>
      <c r="W26" s="181"/>
      <c r="X26" s="33" t="s">
        <v>153</v>
      </c>
    </row>
    <row r="27" spans="1:29">
      <c r="H27" s="201" t="s">
        <v>50</v>
      </c>
      <c r="I27" s="202" t="s">
        <v>214</v>
      </c>
      <c r="J27" s="236" t="s">
        <v>215</v>
      </c>
      <c r="K27" s="229"/>
      <c r="L27" s="230">
        <v>0</v>
      </c>
      <c r="M27" s="229"/>
      <c r="N27" s="230">
        <v>0</v>
      </c>
      <c r="O27" s="192"/>
      <c r="P27" s="193">
        <f t="shared" si="2"/>
        <v>0</v>
      </c>
      <c r="Q27" s="221"/>
      <c r="R27" s="193">
        <f t="shared" si="1"/>
        <v>0</v>
      </c>
      <c r="S27" s="108"/>
      <c r="T27" s="5"/>
      <c r="U27" s="179">
        <f>1+U26</f>
        <v>43484</v>
      </c>
      <c r="V27" s="170">
        <v>0.5</v>
      </c>
      <c r="W27" s="183"/>
      <c r="X27" s="33" t="s">
        <v>154</v>
      </c>
    </row>
    <row r="28" spans="1:29">
      <c r="A28" s="216"/>
      <c r="B28" s="4"/>
      <c r="C28" s="4"/>
      <c r="D28" s="3"/>
      <c r="E28" s="4"/>
      <c r="F28" s="40"/>
      <c r="G28" s="4"/>
      <c r="H28" s="83"/>
      <c r="I28" s="25" t="s">
        <v>0</v>
      </c>
      <c r="J28" s="81" t="s">
        <v>108</v>
      </c>
      <c r="K28" s="228"/>
      <c r="L28" s="227">
        <f>+K28*5</f>
        <v>0</v>
      </c>
      <c r="M28" s="228"/>
      <c r="N28" s="227">
        <f>+M28*5</f>
        <v>0</v>
      </c>
      <c r="O28" s="74"/>
      <c r="P28" s="75">
        <v>0</v>
      </c>
      <c r="Q28" s="217"/>
      <c r="R28" s="9">
        <f t="shared" si="1"/>
        <v>0</v>
      </c>
      <c r="S28" s="107"/>
      <c r="T28" s="5"/>
      <c r="U28" s="184"/>
      <c r="V28" s="170">
        <f>SUM(V23:V27)</f>
        <v>4.5</v>
      </c>
      <c r="W28" s="183" t="s">
        <v>148</v>
      </c>
      <c r="X28" s="175" t="s">
        <v>155</v>
      </c>
    </row>
    <row r="29" spans="1:29">
      <c r="A29" s="215"/>
      <c r="H29" s="214" t="s">
        <v>164</v>
      </c>
      <c r="I29" s="188" t="s">
        <v>45</v>
      </c>
      <c r="J29" s="189" t="s">
        <v>133</v>
      </c>
      <c r="K29" s="231"/>
      <c r="L29" s="56">
        <f>+K29*3</f>
        <v>0</v>
      </c>
      <c r="M29" s="229"/>
      <c r="N29" s="230">
        <f>+M29*3</f>
        <v>0</v>
      </c>
      <c r="O29" s="192">
        <v>34</v>
      </c>
      <c r="P29" s="193">
        <f t="shared" ref="P29:P41" si="3">IF(O29&gt;25,150,(O29)*6)</f>
        <v>150</v>
      </c>
      <c r="Q29" s="221"/>
      <c r="R29" s="196">
        <f t="shared" si="1"/>
        <v>150</v>
      </c>
      <c r="S29" s="197"/>
      <c r="T29" s="5"/>
      <c r="U29" s="184"/>
      <c r="V29" s="171">
        <v>18</v>
      </c>
      <c r="W29" s="185" t="s">
        <v>149</v>
      </c>
      <c r="X29" s="61"/>
    </row>
    <row r="30" spans="1:29" ht="16.5">
      <c r="A30" s="215"/>
      <c r="H30" s="201" t="s">
        <v>50</v>
      </c>
      <c r="I30" s="21" t="s">
        <v>13</v>
      </c>
      <c r="J30" s="20" t="s">
        <v>121</v>
      </c>
      <c r="K30" s="229"/>
      <c r="L30" s="230">
        <f>3*K30</f>
        <v>0</v>
      </c>
      <c r="M30" s="229"/>
      <c r="N30" s="230">
        <v>0</v>
      </c>
      <c r="O30" s="23"/>
      <c r="P30" s="24">
        <f t="shared" si="3"/>
        <v>0</v>
      </c>
      <c r="Q30" s="219"/>
      <c r="R30" s="24">
        <f t="shared" si="1"/>
        <v>0</v>
      </c>
      <c r="S30" s="108"/>
      <c r="T30" s="5"/>
      <c r="U30" s="186" t="s">
        <v>160</v>
      </c>
      <c r="V30" s="172">
        <f>+V29/V28</f>
        <v>4</v>
      </c>
      <c r="W30" s="173" t="s">
        <v>150</v>
      </c>
      <c r="X30" s="61"/>
    </row>
    <row r="31" spans="1:29">
      <c r="A31" s="215"/>
      <c r="H31" s="83"/>
      <c r="I31" s="25" t="s">
        <v>31</v>
      </c>
      <c r="J31" s="81" t="s">
        <v>127</v>
      </c>
      <c r="K31" s="228"/>
      <c r="L31" s="227">
        <v>0</v>
      </c>
      <c r="M31" s="228"/>
      <c r="N31" s="227">
        <v>0</v>
      </c>
      <c r="O31" s="74">
        <v>37</v>
      </c>
      <c r="P31" s="75">
        <f t="shared" si="3"/>
        <v>150</v>
      </c>
      <c r="Q31" s="218"/>
      <c r="R31" s="11">
        <f t="shared" si="1"/>
        <v>150</v>
      </c>
      <c r="S31" s="107"/>
      <c r="T31" s="5"/>
      <c r="U31" s="58"/>
      <c r="V31" s="59"/>
      <c r="W31" s="60"/>
      <c r="X31" s="65"/>
      <c r="AC31">
        <v>4</v>
      </c>
    </row>
    <row r="32" spans="1:29">
      <c r="A32" s="215"/>
      <c r="H32" s="83"/>
      <c r="I32" s="25" t="s">
        <v>30</v>
      </c>
      <c r="J32" s="81" t="s">
        <v>126</v>
      </c>
      <c r="K32" s="228"/>
      <c r="L32" s="227">
        <f>+K32*3</f>
        <v>0</v>
      </c>
      <c r="M32" s="228"/>
      <c r="N32" s="227">
        <f>+M32*3</f>
        <v>0</v>
      </c>
      <c r="O32" s="28">
        <v>36</v>
      </c>
      <c r="P32" s="11">
        <f t="shared" si="3"/>
        <v>150</v>
      </c>
      <c r="Q32" s="218"/>
      <c r="R32" s="11">
        <f t="shared" si="1"/>
        <v>150</v>
      </c>
      <c r="S32" s="107"/>
      <c r="T32" s="5"/>
      <c r="U32" s="58"/>
      <c r="V32" s="66"/>
      <c r="W32" s="67"/>
      <c r="X32" s="66"/>
      <c r="Z32">
        <v>186.44069999999999</v>
      </c>
      <c r="AA32">
        <f>+Z32*0.18</f>
        <v>33.559325999999999</v>
      </c>
      <c r="AB32">
        <f>+Z32+AA32</f>
        <v>220.00002599999999</v>
      </c>
      <c r="AC32">
        <f>+AB32*AC31</f>
        <v>880.00010399999996</v>
      </c>
    </row>
    <row r="33" spans="1:29" s="4" customFormat="1">
      <c r="A33" s="215"/>
      <c r="B33"/>
      <c r="C33"/>
      <c r="D33" s="1"/>
      <c r="E33"/>
      <c r="F33" s="2"/>
      <c r="G33"/>
      <c r="H33" s="201" t="s">
        <v>50</v>
      </c>
      <c r="I33" s="202" t="s">
        <v>186</v>
      </c>
      <c r="J33" s="236" t="s">
        <v>187</v>
      </c>
      <c r="K33" s="229"/>
      <c r="L33" s="230">
        <v>0</v>
      </c>
      <c r="M33" s="229"/>
      <c r="N33" s="230">
        <v>0</v>
      </c>
      <c r="O33" s="192">
        <v>39</v>
      </c>
      <c r="P33" s="193">
        <f t="shared" si="3"/>
        <v>150</v>
      </c>
      <c r="Q33" s="221"/>
      <c r="R33" s="193">
        <f t="shared" si="1"/>
        <v>150</v>
      </c>
      <c r="S33" s="108"/>
      <c r="T33" s="5"/>
      <c r="U33" s="64"/>
      <c r="V33" s="59"/>
      <c r="W33" s="60"/>
      <c r="X33" s="68"/>
      <c r="Z33" s="4">
        <v>206.44069999999999</v>
      </c>
      <c r="AA33">
        <f>+Z33*0.18</f>
        <v>37.159326</v>
      </c>
      <c r="AB33">
        <f>+Z33+AA33</f>
        <v>243.60002599999999</v>
      </c>
      <c r="AC33" s="4">
        <f>+AB33*AC31</f>
        <v>974.40010399999994</v>
      </c>
    </row>
    <row r="34" spans="1:29">
      <c r="A34" s="215"/>
      <c r="H34" s="83"/>
      <c r="I34" s="25" t="s">
        <v>17</v>
      </c>
      <c r="J34" s="81" t="s">
        <v>123</v>
      </c>
      <c r="K34" s="228"/>
      <c r="L34" s="227">
        <f>+K34*3</f>
        <v>0</v>
      </c>
      <c r="M34" s="228"/>
      <c r="N34" s="227">
        <f>+M34*3</f>
        <v>0</v>
      </c>
      <c r="O34" s="74">
        <v>22</v>
      </c>
      <c r="P34" s="75">
        <f t="shared" si="3"/>
        <v>132</v>
      </c>
      <c r="Q34" s="218"/>
      <c r="R34" s="11">
        <f t="shared" si="1"/>
        <v>132</v>
      </c>
      <c r="S34" s="107"/>
      <c r="T34" s="5"/>
      <c r="U34" s="58"/>
      <c r="V34" s="59"/>
      <c r="W34" s="67"/>
      <c r="X34" s="69"/>
      <c r="Z34">
        <f>+Z33-Z32</f>
        <v>20</v>
      </c>
      <c r="AA34">
        <f>+AA33-AA32</f>
        <v>3.6000000000000014</v>
      </c>
      <c r="AB34">
        <f>+AB33-AB32</f>
        <v>23.599999999999994</v>
      </c>
      <c r="AC34">
        <f>+AB34*AC31</f>
        <v>94.399999999999977</v>
      </c>
    </row>
    <row r="35" spans="1:29">
      <c r="A35" s="215"/>
      <c r="H35" s="83"/>
      <c r="I35" s="25" t="s">
        <v>60</v>
      </c>
      <c r="J35" s="81" t="s">
        <v>132</v>
      </c>
      <c r="K35" s="228"/>
      <c r="L35" s="227">
        <v>0</v>
      </c>
      <c r="M35" s="228"/>
      <c r="N35" s="227">
        <v>0</v>
      </c>
      <c r="O35" s="74"/>
      <c r="P35" s="75">
        <f t="shared" si="3"/>
        <v>0</v>
      </c>
      <c r="Q35" s="218"/>
      <c r="R35" s="11">
        <f t="shared" si="1"/>
        <v>0</v>
      </c>
      <c r="S35" s="107"/>
      <c r="T35" s="5"/>
      <c r="U35" s="58"/>
      <c r="V35" s="59"/>
      <c r="W35" s="60"/>
      <c r="X35" s="65"/>
    </row>
    <row r="36" spans="1:29">
      <c r="A36" s="215"/>
      <c r="H36" s="142"/>
      <c r="I36" s="25" t="s">
        <v>8</v>
      </c>
      <c r="J36" s="81" t="s">
        <v>120</v>
      </c>
      <c r="K36" s="228"/>
      <c r="L36" s="227">
        <v>0</v>
      </c>
      <c r="M36" s="228"/>
      <c r="N36" s="227">
        <v>0</v>
      </c>
      <c r="O36" s="28">
        <v>33</v>
      </c>
      <c r="P36" s="75">
        <f t="shared" si="3"/>
        <v>150</v>
      </c>
      <c r="Q36" s="218"/>
      <c r="R36" s="57">
        <f t="shared" si="1"/>
        <v>150</v>
      </c>
      <c r="S36" s="107"/>
      <c r="T36" s="5"/>
      <c r="U36" s="58"/>
      <c r="V36" s="59"/>
      <c r="W36" s="60"/>
      <c r="X36" s="61"/>
    </row>
    <row r="37" spans="1:29">
      <c r="A37" s="215"/>
      <c r="H37" s="83"/>
      <c r="I37" s="25" t="s">
        <v>11</v>
      </c>
      <c r="J37" s="96" t="s">
        <v>130</v>
      </c>
      <c r="K37" s="228"/>
      <c r="L37" s="227">
        <f>+K37*3</f>
        <v>0</v>
      </c>
      <c r="M37" s="228"/>
      <c r="N37" s="227">
        <f>+M37*3</f>
        <v>0</v>
      </c>
      <c r="O37" s="74">
        <v>28</v>
      </c>
      <c r="P37" s="75">
        <f t="shared" si="3"/>
        <v>150</v>
      </c>
      <c r="Q37" s="220"/>
      <c r="R37" s="11">
        <f t="shared" si="1"/>
        <v>150</v>
      </c>
      <c r="S37" s="107"/>
      <c r="T37" s="5"/>
      <c r="U37" s="58"/>
      <c r="V37" s="59"/>
      <c r="W37" s="62"/>
      <c r="X37" s="63"/>
    </row>
    <row r="38" spans="1:29">
      <c r="H38" s="83"/>
      <c r="I38" s="25" t="s">
        <v>44</v>
      </c>
      <c r="J38" s="96" t="s">
        <v>124</v>
      </c>
      <c r="K38" s="228"/>
      <c r="L38" s="227">
        <f>+K38*3</f>
        <v>0</v>
      </c>
      <c r="M38" s="228"/>
      <c r="N38" s="227">
        <f>+M38*3</f>
        <v>0</v>
      </c>
      <c r="O38" s="113"/>
      <c r="P38" s="75">
        <f t="shared" si="3"/>
        <v>0</v>
      </c>
      <c r="Q38" s="218"/>
      <c r="R38" s="11">
        <f t="shared" si="1"/>
        <v>0</v>
      </c>
      <c r="S38" s="107"/>
      <c r="T38" s="5"/>
      <c r="U38" s="58"/>
      <c r="V38" s="59"/>
      <c r="W38" s="67"/>
      <c r="X38" s="66"/>
    </row>
    <row r="39" spans="1:29">
      <c r="H39" s="201" t="s">
        <v>50</v>
      </c>
      <c r="I39" s="21" t="s">
        <v>6</v>
      </c>
      <c r="J39" s="20" t="s">
        <v>116</v>
      </c>
      <c r="K39" s="229"/>
      <c r="L39" s="230">
        <f>+K39*3</f>
        <v>0</v>
      </c>
      <c r="M39" s="229"/>
      <c r="N39" s="230">
        <f>+M39*3</f>
        <v>0</v>
      </c>
      <c r="O39" s="23">
        <v>25</v>
      </c>
      <c r="P39" s="24">
        <f t="shared" si="3"/>
        <v>150</v>
      </c>
      <c r="Q39" s="219"/>
      <c r="R39" s="24">
        <f t="shared" si="1"/>
        <v>150</v>
      </c>
      <c r="S39" s="108"/>
      <c r="T39" s="5"/>
      <c r="U39" s="58"/>
      <c r="V39" s="59"/>
      <c r="W39" s="60"/>
      <c r="X39" s="65"/>
    </row>
    <row r="40" spans="1:29">
      <c r="H40" s="95"/>
      <c r="I40" s="25" t="s">
        <v>53</v>
      </c>
      <c r="J40" s="81" t="s">
        <v>135</v>
      </c>
      <c r="K40" s="228"/>
      <c r="L40" s="227">
        <v>0</v>
      </c>
      <c r="M40" s="228"/>
      <c r="N40" s="227">
        <v>0</v>
      </c>
      <c r="O40" s="28">
        <v>29</v>
      </c>
      <c r="P40" s="75">
        <f t="shared" si="3"/>
        <v>150</v>
      </c>
      <c r="Q40" s="218"/>
      <c r="R40" s="11">
        <f t="shared" si="1"/>
        <v>150</v>
      </c>
      <c r="S40" s="107"/>
      <c r="T40" s="5"/>
      <c r="U40" s="58"/>
      <c r="V40" s="59"/>
      <c r="W40" s="60"/>
      <c r="X40" s="65"/>
    </row>
    <row r="41" spans="1:29">
      <c r="H41" s="81"/>
      <c r="I41" s="120" t="s">
        <v>12</v>
      </c>
      <c r="J41" s="150" t="s">
        <v>114</v>
      </c>
      <c r="K41" s="232"/>
      <c r="L41" s="233">
        <v>0</v>
      </c>
      <c r="M41" s="232"/>
      <c r="N41" s="233">
        <v>0</v>
      </c>
      <c r="O41" s="122"/>
      <c r="P41" s="147">
        <f t="shared" si="3"/>
        <v>0</v>
      </c>
      <c r="Q41" s="222"/>
      <c r="R41" s="124">
        <f t="shared" si="1"/>
        <v>0</v>
      </c>
      <c r="S41" s="148"/>
      <c r="T41" s="5"/>
      <c r="U41" s="58"/>
      <c r="V41" s="59"/>
      <c r="W41" s="60"/>
      <c r="X41" s="61"/>
    </row>
    <row r="42" spans="1:29">
      <c r="I42" s="13"/>
      <c r="J42" s="14"/>
      <c r="K42" s="234">
        <f t="shared" ref="K42:S42" si="4">SUM(K5:K41)</f>
        <v>0</v>
      </c>
      <c r="L42" s="235">
        <f t="shared" si="4"/>
        <v>0</v>
      </c>
      <c r="M42" s="234">
        <f t="shared" si="4"/>
        <v>0</v>
      </c>
      <c r="N42" s="235">
        <f t="shared" si="4"/>
        <v>0</v>
      </c>
      <c r="O42" s="77">
        <f t="shared" si="4"/>
        <v>611</v>
      </c>
      <c r="P42" s="78">
        <f t="shared" si="4"/>
        <v>2952</v>
      </c>
      <c r="Q42" s="223">
        <f t="shared" si="4"/>
        <v>0</v>
      </c>
      <c r="R42" s="78">
        <f t="shared" si="4"/>
        <v>2952</v>
      </c>
      <c r="S42" s="102">
        <f t="shared" si="4"/>
        <v>0</v>
      </c>
      <c r="T42" s="5"/>
      <c r="U42" s="58"/>
      <c r="V42" s="59"/>
      <c r="W42" s="60"/>
      <c r="X42" s="61"/>
    </row>
    <row r="43" spans="1:29">
      <c r="J43" s="200">
        <f ca="1">TODAY()</f>
        <v>43825</v>
      </c>
      <c r="K43" s="41"/>
      <c r="M43" s="42"/>
      <c r="N43" s="41"/>
      <c r="O43" s="45" t="s">
        <v>81</v>
      </c>
      <c r="Q43" s="42"/>
      <c r="R43" s="45">
        <f>+R39+R23+R30+R29+R33+R22+R27</f>
        <v>696</v>
      </c>
      <c r="T43" s="5"/>
      <c r="U43" s="58"/>
      <c r="V43" s="59"/>
      <c r="W43" s="60"/>
      <c r="X43" s="65"/>
    </row>
    <row r="44" spans="1:29">
      <c r="L44" s="43"/>
      <c r="M44" s="44"/>
      <c r="N44" s="125"/>
      <c r="O44" s="43" t="s">
        <v>91</v>
      </c>
      <c r="P44" s="114"/>
      <c r="Q44" s="110" t="s">
        <v>58</v>
      </c>
      <c r="R44" s="111">
        <f>+R42-R43</f>
        <v>2256</v>
      </c>
      <c r="S44" s="109"/>
      <c r="T44" s="5"/>
      <c r="U44" s="58"/>
      <c r="V44" s="59"/>
      <c r="W44" s="62"/>
      <c r="X44" s="60"/>
    </row>
    <row r="45" spans="1:29" ht="3.95" customHeight="1">
      <c r="P45" s="19"/>
      <c r="U45" s="58"/>
      <c r="V45" s="59"/>
      <c r="W45" s="62"/>
      <c r="X45" s="60"/>
    </row>
    <row r="46" spans="1:29">
      <c r="I46" s="224" t="s">
        <v>199</v>
      </c>
      <c r="P46" s="19"/>
      <c r="U46" s="64"/>
      <c r="V46" s="59"/>
      <c r="W46" s="60"/>
      <c r="X46" s="68"/>
    </row>
    <row r="47" spans="1:29">
      <c r="I47" s="224" t="s">
        <v>200</v>
      </c>
      <c r="P47" s="19"/>
      <c r="U47" s="58"/>
      <c r="V47" s="66"/>
      <c r="W47" s="67"/>
      <c r="X47" s="69"/>
    </row>
    <row r="48" spans="1:29">
      <c r="I48" s="224" t="s">
        <v>201</v>
      </c>
      <c r="P48" s="19"/>
      <c r="U48" s="60"/>
      <c r="V48" s="59"/>
      <c r="W48" s="60"/>
      <c r="X48" s="60"/>
    </row>
    <row r="49" spans="9:24">
      <c r="I49" s="224" t="s">
        <v>202</v>
      </c>
      <c r="P49" s="19"/>
      <c r="U49" s="60"/>
      <c r="V49" s="59"/>
      <c r="W49" s="60"/>
      <c r="X49" s="60"/>
    </row>
    <row r="50" spans="9:24">
      <c r="I50" s="224" t="s">
        <v>203</v>
      </c>
      <c r="P50" s="19"/>
      <c r="U50" s="60"/>
      <c r="V50" s="59"/>
      <c r="W50" s="60"/>
      <c r="X50" s="60"/>
    </row>
    <row r="51" spans="9:24">
      <c r="I51" s="224" t="s">
        <v>204</v>
      </c>
      <c r="U51" s="60"/>
      <c r="V51" s="59"/>
      <c r="W51" s="60"/>
      <c r="X51" s="60"/>
    </row>
    <row r="52" spans="9:24">
      <c r="I52" s="224" t="s">
        <v>205</v>
      </c>
      <c r="P52" s="19"/>
      <c r="U52" s="60"/>
      <c r="V52" s="59"/>
      <c r="W52" s="60"/>
      <c r="X52" s="60"/>
    </row>
    <row r="53" spans="9:24" ht="3.95" customHeight="1">
      <c r="I53" s="224" t="s">
        <v>206</v>
      </c>
      <c r="P53" s="19"/>
      <c r="U53" s="60"/>
      <c r="V53" s="59"/>
      <c r="W53" s="60"/>
      <c r="X53" s="60"/>
    </row>
    <row r="54" spans="9:24">
      <c r="P54" s="19"/>
      <c r="U54" s="60"/>
      <c r="V54" s="59"/>
      <c r="W54" s="60"/>
      <c r="X54" s="60"/>
    </row>
    <row r="55" spans="9:24">
      <c r="U55" s="60"/>
      <c r="V55" s="59"/>
      <c r="W55" s="60"/>
      <c r="X55" s="60"/>
    </row>
  </sheetData>
  <mergeCells count="4">
    <mergeCell ref="I2:R2"/>
    <mergeCell ref="K3:N3"/>
    <mergeCell ref="O3:P3"/>
    <mergeCell ref="T3:V3"/>
  </mergeCells>
  <conditionalFormatting sqref="R5">
    <cfRule type="cellIs" dxfId="37" priority="3" operator="lessThanOrEqual">
      <formula>0</formula>
    </cfRule>
  </conditionalFormatting>
  <conditionalFormatting sqref="R40:R41 R5:R38">
    <cfRule type="cellIs" dxfId="36" priority="2" operator="greaterThan">
      <formula>0</formula>
    </cfRule>
  </conditionalFormatting>
  <conditionalFormatting sqref="R39">
    <cfRule type="cellIs" dxfId="35" priority="1" operator="greaterThan">
      <formula>0</formula>
    </cfRule>
  </conditionalFormatting>
  <printOptions horizontalCentered="1"/>
  <pageMargins left="0" right="0" top="0.83" bottom="0" header="0" footer="0"/>
  <pageSetup paperSize="9" scale="93" orientation="portrait" r:id="rId1"/>
  <ignoredErrors>
    <ignoredError sqref="L18:N24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66"/>
  <sheetViews>
    <sheetView zoomScale="85" zoomScaleNormal="85" workbookViewId="0">
      <pane xSplit="10" ySplit="3" topLeftCell="K4" activePane="bottomRight" state="frozen"/>
      <selection pane="topRight" activeCell="K1" sqref="K1"/>
      <selection pane="bottomLeft" activeCell="A5" sqref="A5"/>
      <selection pane="bottomRight" activeCell="K4" sqref="K4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5.140625" customWidth="1"/>
    <col min="9" max="9" width="7.42578125" customWidth="1"/>
    <col min="10" max="10" width="28.140625" customWidth="1"/>
    <col min="11" max="11" width="1.7109375" customWidth="1"/>
    <col min="12" max="12" width="1.5703125" customWidth="1"/>
    <col min="13" max="13" width="5.7109375" customWidth="1"/>
    <col min="14" max="14" width="8.7109375" customWidth="1"/>
    <col min="15" max="15" width="6.85546875" customWidth="1"/>
    <col min="16" max="16" width="12.140625" customWidth="1"/>
    <col min="17" max="17" width="7.28515625" customWidth="1"/>
    <col min="18" max="18" width="15.7109375" customWidth="1"/>
    <col min="19" max="19" width="8.140625" style="103" bestFit="1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 ht="14.1" customHeight="1">
      <c r="H2" s="83"/>
      <c r="I2" s="429" t="s">
        <v>508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430">
        <f ca="1">+TODAY()</f>
        <v>43825</v>
      </c>
      <c r="U2" s="431"/>
      <c r="V2" s="431"/>
    </row>
    <row r="3" spans="8:29" ht="36.950000000000003" customHeight="1">
      <c r="H3" s="83" t="s">
        <v>143</v>
      </c>
      <c r="I3" s="268" t="s">
        <v>249</v>
      </c>
      <c r="J3" s="267" t="s">
        <v>248</v>
      </c>
      <c r="K3" s="225" t="s">
        <v>15</v>
      </c>
      <c r="L3" s="225" t="s">
        <v>208</v>
      </c>
      <c r="M3" s="198" t="s">
        <v>15</v>
      </c>
      <c r="N3" s="285" t="s">
        <v>498</v>
      </c>
      <c r="O3" s="87" t="s">
        <v>15</v>
      </c>
      <c r="P3" s="87" t="s">
        <v>496</v>
      </c>
      <c r="Q3" s="99" t="s">
        <v>497</v>
      </c>
      <c r="R3" s="88" t="s">
        <v>103</v>
      </c>
      <c r="S3" s="388" t="s">
        <v>507</v>
      </c>
      <c r="T3" s="89"/>
      <c r="U3" s="83"/>
      <c r="V3" s="83"/>
    </row>
    <row r="4" spans="8:29">
      <c r="H4" s="83"/>
      <c r="I4" s="126" t="s">
        <v>5</v>
      </c>
      <c r="J4" s="80" t="s">
        <v>117</v>
      </c>
      <c r="K4" s="226"/>
      <c r="L4" s="227">
        <f>+K4*3</f>
        <v>0</v>
      </c>
      <c r="M4" s="162">
        <v>1</v>
      </c>
      <c r="N4" s="163">
        <v>0</v>
      </c>
      <c r="O4" s="76">
        <v>8</v>
      </c>
      <c r="P4" s="75">
        <f t="shared" ref="P4:P42" si="0">IF(O4&gt;25,150,(O4)*6)</f>
        <v>48</v>
      </c>
      <c r="Q4" s="217"/>
      <c r="R4" s="11">
        <f t="shared" ref="R4:R42" si="1">+L4+N4+P4+Q4</f>
        <v>48</v>
      </c>
      <c r="S4" s="106">
        <v>50</v>
      </c>
      <c r="T4" s="5"/>
      <c r="U4" s="258">
        <v>815.2</v>
      </c>
      <c r="V4" s="259">
        <v>94</v>
      </c>
      <c r="W4" s="260">
        <v>721.2</v>
      </c>
      <c r="X4" s="333" t="s">
        <v>215</v>
      </c>
      <c r="Y4" s="266"/>
    </row>
    <row r="5" spans="8:29">
      <c r="H5" s="242" t="s">
        <v>250</v>
      </c>
      <c r="I5" s="188" t="s">
        <v>64</v>
      </c>
      <c r="J5" s="242" t="s">
        <v>138</v>
      </c>
      <c r="K5" s="192"/>
      <c r="L5" s="193">
        <f>+K5*3</f>
        <v>0</v>
      </c>
      <c r="M5" s="160"/>
      <c r="N5" s="161">
        <v>0</v>
      </c>
      <c r="O5" s="192">
        <v>29</v>
      </c>
      <c r="P5" s="193">
        <f t="shared" si="0"/>
        <v>150</v>
      </c>
      <c r="Q5" s="221"/>
      <c r="R5" s="193">
        <f t="shared" si="1"/>
        <v>150</v>
      </c>
      <c r="S5" s="197"/>
      <c r="T5" s="5"/>
      <c r="U5" s="326">
        <f>+V5+W5</f>
        <v>813.84359400998335</v>
      </c>
      <c r="V5" s="256">
        <f>+V4*W5/W4</f>
        <v>93.843594009983349</v>
      </c>
      <c r="W5" s="261">
        <v>720</v>
      </c>
      <c r="X5" s="334" t="s">
        <v>381</v>
      </c>
    </row>
    <row r="6" spans="8:29">
      <c r="H6" s="142"/>
      <c r="I6" s="269" t="s">
        <v>387</v>
      </c>
      <c r="J6" s="270" t="s">
        <v>388</v>
      </c>
      <c r="K6" s="271"/>
      <c r="L6" s="272">
        <v>0</v>
      </c>
      <c r="M6" s="164"/>
      <c r="N6" s="163">
        <v>0</v>
      </c>
      <c r="O6" s="271">
        <v>23</v>
      </c>
      <c r="P6" s="272">
        <f t="shared" si="0"/>
        <v>138</v>
      </c>
      <c r="Q6" s="273"/>
      <c r="R6" s="272">
        <f t="shared" si="1"/>
        <v>138</v>
      </c>
      <c r="S6" s="274"/>
      <c r="T6" s="5"/>
      <c r="U6" s="32">
        <f>+U4-U5+0.01</f>
        <v>1.3664059900166967</v>
      </c>
      <c r="V6" s="47"/>
      <c r="W6" s="33"/>
      <c r="X6" s="262" t="s">
        <v>59</v>
      </c>
    </row>
    <row r="7" spans="8:29">
      <c r="H7" s="242" t="s">
        <v>250</v>
      </c>
      <c r="I7" s="188" t="s">
        <v>2</v>
      </c>
      <c r="J7" s="242" t="s">
        <v>107</v>
      </c>
      <c r="K7" s="192"/>
      <c r="L7" s="193">
        <f>+K7*3</f>
        <v>0</v>
      </c>
      <c r="M7" s="160"/>
      <c r="N7" s="161">
        <f>+M7*3</f>
        <v>0</v>
      </c>
      <c r="O7" s="192">
        <v>34</v>
      </c>
      <c r="P7" s="193">
        <f t="shared" si="0"/>
        <v>150</v>
      </c>
      <c r="Q7" s="221"/>
      <c r="R7" s="193">
        <f t="shared" si="1"/>
        <v>150</v>
      </c>
      <c r="S7" s="197"/>
      <c r="T7" s="5"/>
      <c r="U7" s="34">
        <v>150</v>
      </c>
      <c r="V7" s="335">
        <f>+U7-U6</f>
        <v>148.63359400998331</v>
      </c>
      <c r="W7" s="39" t="s">
        <v>63</v>
      </c>
      <c r="X7" s="263">
        <f>150-V7</f>
        <v>1.3664059900166876</v>
      </c>
    </row>
    <row r="8" spans="8:29">
      <c r="H8" s="95"/>
      <c r="I8" s="25" t="s">
        <v>42</v>
      </c>
      <c r="J8" s="81" t="s">
        <v>119</v>
      </c>
      <c r="K8" s="228"/>
      <c r="L8" s="227">
        <f>+K8*3</f>
        <v>0</v>
      </c>
      <c r="M8" s="164"/>
      <c r="N8" s="163">
        <f>+M8*3</f>
        <v>0</v>
      </c>
      <c r="O8" s="28">
        <v>27</v>
      </c>
      <c r="P8" s="75">
        <f t="shared" si="0"/>
        <v>150</v>
      </c>
      <c r="Q8" s="374"/>
      <c r="R8" s="11">
        <f t="shared" si="1"/>
        <v>150</v>
      </c>
      <c r="S8" s="107">
        <v>50</v>
      </c>
      <c r="T8" s="5"/>
      <c r="X8" s="37"/>
    </row>
    <row r="9" spans="8:29" ht="15" customHeight="1">
      <c r="H9" s="251" t="s">
        <v>50</v>
      </c>
      <c r="I9" s="275" t="s">
        <v>1</v>
      </c>
      <c r="J9" s="276" t="s">
        <v>106</v>
      </c>
      <c r="K9" s="277"/>
      <c r="L9" s="278">
        <f>3*K9</f>
        <v>0</v>
      </c>
      <c r="M9" s="160"/>
      <c r="N9" s="161">
        <f>3*M9</f>
        <v>0</v>
      </c>
      <c r="O9" s="277"/>
      <c r="P9" s="278">
        <f t="shared" si="0"/>
        <v>0</v>
      </c>
      <c r="Q9" s="279"/>
      <c r="R9" s="278">
        <f t="shared" si="1"/>
        <v>0</v>
      </c>
      <c r="S9" s="280"/>
      <c r="T9" s="5"/>
      <c r="U9" s="258">
        <v>988</v>
      </c>
      <c r="V9" s="259">
        <v>118.76</v>
      </c>
      <c r="W9" s="260">
        <v>869.24</v>
      </c>
      <c r="X9" s="333" t="s">
        <v>349</v>
      </c>
      <c r="Y9" s="266"/>
    </row>
    <row r="10" spans="8:29">
      <c r="H10" s="95"/>
      <c r="I10" s="25" t="s">
        <v>56</v>
      </c>
      <c r="J10" s="81" t="s">
        <v>136</v>
      </c>
      <c r="K10" s="228"/>
      <c r="L10" s="227">
        <v>0</v>
      </c>
      <c r="M10" s="164"/>
      <c r="N10" s="163">
        <f>3*M10</f>
        <v>0</v>
      </c>
      <c r="O10" s="28">
        <v>27</v>
      </c>
      <c r="P10" s="75">
        <f t="shared" si="0"/>
        <v>150</v>
      </c>
      <c r="Q10" s="374"/>
      <c r="R10" s="11">
        <f t="shared" si="1"/>
        <v>150</v>
      </c>
      <c r="S10" s="107">
        <v>50</v>
      </c>
      <c r="T10" s="5"/>
      <c r="U10" s="326">
        <f>+V10+W10</f>
        <v>935.44245547834896</v>
      </c>
      <c r="V10" s="256">
        <f>+V9*W10/W9</f>
        <v>112.44245547834892</v>
      </c>
      <c r="W10" s="261">
        <v>823</v>
      </c>
      <c r="X10" s="334" t="s">
        <v>348</v>
      </c>
    </row>
    <row r="11" spans="8:29">
      <c r="H11" s="95"/>
      <c r="I11" s="25" t="s">
        <v>16</v>
      </c>
      <c r="J11" s="81" t="s">
        <v>113</v>
      </c>
      <c r="K11" s="228"/>
      <c r="L11" s="227">
        <v>0</v>
      </c>
      <c r="M11" s="164"/>
      <c r="N11" s="163">
        <f>3*M11</f>
        <v>0</v>
      </c>
      <c r="O11" s="28">
        <v>25</v>
      </c>
      <c r="P11" s="75">
        <f t="shared" si="0"/>
        <v>150</v>
      </c>
      <c r="Q11" s="374"/>
      <c r="R11" s="11">
        <f t="shared" si="1"/>
        <v>150</v>
      </c>
      <c r="S11" s="107">
        <v>50</v>
      </c>
      <c r="T11" s="5"/>
      <c r="U11" s="32">
        <f>+U9-U10</f>
        <v>52.557544521651039</v>
      </c>
      <c r="V11" s="47"/>
      <c r="W11" s="33"/>
      <c r="X11" s="262" t="s">
        <v>59</v>
      </c>
    </row>
    <row r="12" spans="8:29">
      <c r="H12" s="83"/>
      <c r="I12" s="25" t="s">
        <v>20</v>
      </c>
      <c r="J12" s="81" t="s">
        <v>195</v>
      </c>
      <c r="K12" s="228"/>
      <c r="L12" s="227">
        <f>+K12*3</f>
        <v>0</v>
      </c>
      <c r="M12" s="164"/>
      <c r="N12" s="163">
        <f>+M12*3</f>
        <v>0</v>
      </c>
      <c r="O12" s="74">
        <v>27</v>
      </c>
      <c r="P12" s="75">
        <f t="shared" si="0"/>
        <v>150</v>
      </c>
      <c r="Q12" s="217"/>
      <c r="R12" s="9">
        <f t="shared" si="1"/>
        <v>150</v>
      </c>
      <c r="S12" s="107">
        <v>50</v>
      </c>
      <c r="T12" s="5"/>
      <c r="U12" s="34">
        <v>150</v>
      </c>
      <c r="V12" s="38">
        <f>+U12-U11</f>
        <v>97.442455478348961</v>
      </c>
      <c r="W12" s="39" t="s">
        <v>63</v>
      </c>
      <c r="X12" s="263">
        <f>150-V12</f>
        <v>52.557544521651039</v>
      </c>
    </row>
    <row r="13" spans="8:29">
      <c r="H13" s="251" t="s">
        <v>50</v>
      </c>
      <c r="I13" s="275" t="s">
        <v>459</v>
      </c>
      <c r="J13" s="276" t="s">
        <v>460</v>
      </c>
      <c r="K13" s="277"/>
      <c r="L13" s="278">
        <v>0</v>
      </c>
      <c r="M13" s="160"/>
      <c r="N13" s="161">
        <v>0</v>
      </c>
      <c r="O13" s="277"/>
      <c r="P13" s="278">
        <f t="shared" si="0"/>
        <v>0</v>
      </c>
      <c r="Q13" s="374"/>
      <c r="R13" s="278">
        <f t="shared" si="1"/>
        <v>0</v>
      </c>
      <c r="S13" s="280"/>
      <c r="T13" s="5"/>
      <c r="U13" s="10"/>
      <c r="X13" s="37"/>
    </row>
    <row r="14" spans="8:29">
      <c r="H14" s="251" t="s">
        <v>50</v>
      </c>
      <c r="I14" s="275" t="s">
        <v>272</v>
      </c>
      <c r="J14" s="276" t="s">
        <v>271</v>
      </c>
      <c r="K14" s="277"/>
      <c r="L14" s="278">
        <v>0</v>
      </c>
      <c r="M14" s="160"/>
      <c r="N14" s="161">
        <v>0</v>
      </c>
      <c r="O14" s="277"/>
      <c r="P14" s="278">
        <f t="shared" si="0"/>
        <v>0</v>
      </c>
      <c r="Q14" s="279"/>
      <c r="R14" s="278">
        <f t="shared" si="1"/>
        <v>0</v>
      </c>
      <c r="S14" s="280"/>
      <c r="T14" s="5"/>
      <c r="U14" s="258">
        <v>880</v>
      </c>
      <c r="V14" s="259">
        <v>114.4</v>
      </c>
      <c r="W14" s="327">
        <v>765.6</v>
      </c>
      <c r="X14" s="100"/>
      <c r="Y14" s="266"/>
      <c r="Z14" s="311" t="s">
        <v>291</v>
      </c>
      <c r="AA14" s="177"/>
      <c r="AB14" s="178"/>
      <c r="AC14" s="432" t="s">
        <v>290</v>
      </c>
    </row>
    <row r="15" spans="8:29">
      <c r="H15" s="95"/>
      <c r="I15" s="25" t="s">
        <v>25</v>
      </c>
      <c r="J15" s="81" t="s">
        <v>118</v>
      </c>
      <c r="K15" s="228"/>
      <c r="L15" s="227">
        <f>+K15*3</f>
        <v>0</v>
      </c>
      <c r="M15" s="164"/>
      <c r="N15" s="163">
        <f>+M15*3</f>
        <v>0</v>
      </c>
      <c r="O15" s="28">
        <v>12</v>
      </c>
      <c r="P15" s="75">
        <f t="shared" si="0"/>
        <v>72</v>
      </c>
      <c r="Q15" s="218"/>
      <c r="R15" s="11">
        <f t="shared" si="1"/>
        <v>72</v>
      </c>
      <c r="S15" s="107"/>
      <c r="T15" s="5"/>
      <c r="U15" s="326">
        <f>+V15+W15</f>
        <v>945.97701149425291</v>
      </c>
      <c r="V15" s="256">
        <f>+V14*W15/W14</f>
        <v>122.97701149425289</v>
      </c>
      <c r="W15" s="261">
        <v>823</v>
      </c>
      <c r="X15" s="36" t="s">
        <v>350</v>
      </c>
      <c r="Z15" s="312" t="s">
        <v>292</v>
      </c>
      <c r="AA15" s="313" t="s">
        <v>293</v>
      </c>
      <c r="AB15" s="312" t="s">
        <v>277</v>
      </c>
      <c r="AC15" s="433"/>
    </row>
    <row r="16" spans="8:29">
      <c r="H16" s="95"/>
      <c r="I16" s="25" t="s">
        <v>41</v>
      </c>
      <c r="J16" s="81" t="s">
        <v>112</v>
      </c>
      <c r="K16" s="228"/>
      <c r="L16" s="227">
        <f>+K16*3</f>
        <v>0</v>
      </c>
      <c r="M16" s="164"/>
      <c r="N16" s="163">
        <f>+M16*3</f>
        <v>0</v>
      </c>
      <c r="O16" s="28"/>
      <c r="P16" s="75">
        <f t="shared" si="0"/>
        <v>0</v>
      </c>
      <c r="Q16" s="218"/>
      <c r="R16" s="11">
        <f t="shared" si="1"/>
        <v>0</v>
      </c>
      <c r="S16" s="107"/>
      <c r="T16" s="5"/>
      <c r="U16" s="32">
        <f>+U14-U15</f>
        <v>-65.977011494252906</v>
      </c>
      <c r="V16" s="47"/>
      <c r="W16" s="33"/>
      <c r="X16" s="262" t="s">
        <v>59</v>
      </c>
      <c r="Z16" s="282">
        <v>43673</v>
      </c>
      <c r="AA16" s="317">
        <v>1</v>
      </c>
      <c r="AB16" s="281">
        <v>3</v>
      </c>
      <c r="AC16" s="174" t="s">
        <v>157</v>
      </c>
    </row>
    <row r="17" spans="1:29">
      <c r="A17" s="215"/>
      <c r="H17" s="83"/>
      <c r="I17" s="126" t="s">
        <v>71</v>
      </c>
      <c r="J17" s="80" t="s">
        <v>139</v>
      </c>
      <c r="K17" s="226"/>
      <c r="L17" s="227">
        <f>5*K17</f>
        <v>0</v>
      </c>
      <c r="M17" s="162"/>
      <c r="N17" s="163">
        <f>5*M17</f>
        <v>0</v>
      </c>
      <c r="O17" s="76">
        <v>28</v>
      </c>
      <c r="P17" s="75">
        <f t="shared" si="0"/>
        <v>150</v>
      </c>
      <c r="Q17" s="217"/>
      <c r="R17" s="11">
        <f t="shared" si="1"/>
        <v>150</v>
      </c>
      <c r="S17" s="106">
        <v>40</v>
      </c>
      <c r="T17" s="5"/>
      <c r="U17" s="34">
        <v>150</v>
      </c>
      <c r="V17" s="38">
        <f>+U17-U16</f>
        <v>215.97701149425291</v>
      </c>
      <c r="W17" s="39" t="s">
        <v>63</v>
      </c>
      <c r="X17" s="263">
        <f>150-V17</f>
        <v>-65.977011494252906</v>
      </c>
      <c r="Z17" s="282">
        <f>1+Z16</f>
        <v>43674</v>
      </c>
      <c r="AA17" s="318">
        <v>1</v>
      </c>
      <c r="AB17" s="281">
        <v>5</v>
      </c>
      <c r="AC17" s="33" t="s">
        <v>156</v>
      </c>
    </row>
    <row r="18" spans="1:29">
      <c r="A18" s="215"/>
      <c r="H18" s="242" t="s">
        <v>250</v>
      </c>
      <c r="I18" s="188" t="s">
        <v>28</v>
      </c>
      <c r="J18" s="242" t="s">
        <v>122</v>
      </c>
      <c r="K18" s="192"/>
      <c r="L18" s="193">
        <f>+K18*3</f>
        <v>0</v>
      </c>
      <c r="M18" s="160"/>
      <c r="N18" s="161">
        <f>+M18*3</f>
        <v>0</v>
      </c>
      <c r="O18" s="192">
        <v>31</v>
      </c>
      <c r="P18" s="193">
        <f t="shared" si="0"/>
        <v>150</v>
      </c>
      <c r="Q18" s="221"/>
      <c r="R18" s="193">
        <f t="shared" si="1"/>
        <v>150</v>
      </c>
      <c r="S18" s="197"/>
      <c r="T18" s="5"/>
      <c r="U18" s="10"/>
      <c r="X18" s="37"/>
      <c r="Z18" s="282">
        <f t="shared" ref="Z18:Z26" si="2">1+Z17</f>
        <v>43675</v>
      </c>
      <c r="AA18" s="318">
        <v>1</v>
      </c>
      <c r="AB18" s="281">
        <v>5</v>
      </c>
      <c r="AC18" s="33" t="s">
        <v>151</v>
      </c>
    </row>
    <row r="19" spans="1:29">
      <c r="H19" s="141"/>
      <c r="I19" s="269" t="s">
        <v>270</v>
      </c>
      <c r="J19" s="270" t="s">
        <v>273</v>
      </c>
      <c r="K19" s="271"/>
      <c r="L19" s="272">
        <v>0</v>
      </c>
      <c r="M19" s="164">
        <v>30</v>
      </c>
      <c r="N19" s="163">
        <f>3*M19</f>
        <v>90</v>
      </c>
      <c r="O19" s="271"/>
      <c r="P19" s="272">
        <f t="shared" si="0"/>
        <v>0</v>
      </c>
      <c r="Q19" s="273"/>
      <c r="R19" s="272">
        <f t="shared" si="1"/>
        <v>90</v>
      </c>
      <c r="S19" s="274"/>
      <c r="T19" s="5"/>
      <c r="U19" s="258">
        <v>900</v>
      </c>
      <c r="V19" s="259">
        <f>+U19*0.13</f>
        <v>117</v>
      </c>
      <c r="W19" s="327">
        <f>+V19+U19</f>
        <v>1017</v>
      </c>
      <c r="X19" s="100"/>
      <c r="Y19" s="266"/>
      <c r="Z19" s="282">
        <f t="shared" si="2"/>
        <v>43676</v>
      </c>
      <c r="AA19" s="318">
        <v>1</v>
      </c>
      <c r="AB19" s="281">
        <v>2</v>
      </c>
      <c r="AC19" s="33" t="s">
        <v>152</v>
      </c>
    </row>
    <row r="20" spans="1:29">
      <c r="A20" s="215"/>
      <c r="H20" s="142"/>
      <c r="I20" s="25" t="s">
        <v>4</v>
      </c>
      <c r="J20" s="81" t="s">
        <v>111</v>
      </c>
      <c r="K20" s="228"/>
      <c r="L20" s="227">
        <v>0</v>
      </c>
      <c r="M20" s="164">
        <v>31</v>
      </c>
      <c r="N20" s="163">
        <f>+M20*3</f>
        <v>93</v>
      </c>
      <c r="O20" s="28"/>
      <c r="P20" s="75">
        <f t="shared" si="0"/>
        <v>0</v>
      </c>
      <c r="Q20" s="218"/>
      <c r="R20" s="11">
        <f t="shared" si="1"/>
        <v>93</v>
      </c>
      <c r="S20" s="107">
        <v>100</v>
      </c>
      <c r="T20" s="5"/>
      <c r="U20" s="326">
        <f>+V20+W20</f>
        <v>802.83185840707961</v>
      </c>
      <c r="V20" s="256">
        <f>+V19*W20/W19</f>
        <v>82.83185840707965</v>
      </c>
      <c r="W20" s="261">
        <v>720</v>
      </c>
      <c r="X20" s="36" t="s">
        <v>350</v>
      </c>
      <c r="Z20" s="282">
        <f t="shared" si="2"/>
        <v>43677</v>
      </c>
      <c r="AA20" s="318"/>
      <c r="AB20" s="281"/>
      <c r="AC20" s="33" t="s">
        <v>153</v>
      </c>
    </row>
    <row r="21" spans="1:29">
      <c r="A21" s="215"/>
      <c r="H21" s="142"/>
      <c r="I21" s="25" t="s">
        <v>9</v>
      </c>
      <c r="J21" s="81" t="s">
        <v>128</v>
      </c>
      <c r="K21" s="228"/>
      <c r="L21" s="227">
        <v>0</v>
      </c>
      <c r="M21" s="164">
        <v>23</v>
      </c>
      <c r="N21" s="163">
        <v>0</v>
      </c>
      <c r="O21" s="28"/>
      <c r="P21" s="75">
        <f t="shared" si="0"/>
        <v>0</v>
      </c>
      <c r="Q21" s="374"/>
      <c r="R21" s="11">
        <f t="shared" si="1"/>
        <v>0</v>
      </c>
      <c r="S21" s="107"/>
      <c r="T21" s="5"/>
      <c r="U21" s="32">
        <f>+U19-U20</f>
        <v>97.168141592920392</v>
      </c>
      <c r="V21" s="47"/>
      <c r="W21" s="33"/>
      <c r="X21" s="262" t="s">
        <v>59</v>
      </c>
      <c r="Z21" s="282">
        <f t="shared" si="2"/>
        <v>43678</v>
      </c>
      <c r="AA21" s="318"/>
      <c r="AB21" s="281"/>
      <c r="AC21" s="33" t="s">
        <v>154</v>
      </c>
    </row>
    <row r="22" spans="1:29">
      <c r="A22" s="215"/>
      <c r="H22" s="142"/>
      <c r="I22" s="25" t="s">
        <v>236</v>
      </c>
      <c r="J22" s="96" t="s">
        <v>235</v>
      </c>
      <c r="K22" s="29"/>
      <c r="L22" s="27">
        <v>0</v>
      </c>
      <c r="M22" s="164"/>
      <c r="N22" s="163">
        <v>0</v>
      </c>
      <c r="O22" s="28">
        <v>27</v>
      </c>
      <c r="P22" s="11">
        <f t="shared" si="0"/>
        <v>150</v>
      </c>
      <c r="Q22" s="374"/>
      <c r="R22" s="11">
        <f t="shared" si="1"/>
        <v>150</v>
      </c>
      <c r="S22" s="241"/>
      <c r="T22" s="5"/>
      <c r="U22" s="34">
        <v>150</v>
      </c>
      <c r="V22" s="38">
        <f>+U22-U21</f>
        <v>52.831858407079608</v>
      </c>
      <c r="W22" s="39" t="s">
        <v>63</v>
      </c>
      <c r="X22" s="263">
        <f>150-V22</f>
        <v>97.168141592920392</v>
      </c>
      <c r="Z22" s="282">
        <f t="shared" si="2"/>
        <v>43679</v>
      </c>
      <c r="AA22" s="318"/>
      <c r="AB22" s="281"/>
      <c r="AC22" s="175" t="s">
        <v>155</v>
      </c>
    </row>
    <row r="23" spans="1:29">
      <c r="H23" s="142"/>
      <c r="I23" s="269" t="s">
        <v>328</v>
      </c>
      <c r="J23" s="270" t="s">
        <v>329</v>
      </c>
      <c r="K23" s="271"/>
      <c r="L23" s="272">
        <v>0</v>
      </c>
      <c r="M23" s="164"/>
      <c r="N23" s="163">
        <v>0</v>
      </c>
      <c r="O23" s="271">
        <v>27</v>
      </c>
      <c r="P23" s="272">
        <f t="shared" si="0"/>
        <v>150</v>
      </c>
      <c r="Q23" s="273"/>
      <c r="R23" s="272">
        <f t="shared" si="1"/>
        <v>150</v>
      </c>
      <c r="S23" s="274"/>
      <c r="T23" s="5"/>
      <c r="U23" s="10"/>
      <c r="X23" s="37"/>
      <c r="Z23" s="282">
        <f t="shared" si="2"/>
        <v>43680</v>
      </c>
      <c r="AA23" s="318"/>
      <c r="AB23" s="281"/>
      <c r="AC23" s="61"/>
    </row>
    <row r="24" spans="1:29">
      <c r="A24" s="237"/>
      <c r="B24" s="237"/>
      <c r="C24" s="237"/>
      <c r="D24" s="238"/>
      <c r="E24" s="237"/>
      <c r="F24" s="239"/>
      <c r="G24" s="237"/>
      <c r="H24" s="142"/>
      <c r="I24" s="25" t="s">
        <v>51</v>
      </c>
      <c r="J24" s="96" t="s">
        <v>134</v>
      </c>
      <c r="K24" s="29"/>
      <c r="L24" s="27">
        <f>+K24*3</f>
        <v>0</v>
      </c>
      <c r="M24" s="164"/>
      <c r="N24" s="163">
        <f>+M24*3</f>
        <v>0</v>
      </c>
      <c r="O24" s="28">
        <v>23</v>
      </c>
      <c r="P24" s="11">
        <f t="shared" si="0"/>
        <v>138</v>
      </c>
      <c r="Q24" s="218"/>
      <c r="R24" s="240">
        <f t="shared" si="1"/>
        <v>138</v>
      </c>
      <c r="S24" s="107">
        <v>30</v>
      </c>
      <c r="T24" s="5"/>
      <c r="Z24" s="282">
        <f t="shared" si="2"/>
        <v>43681</v>
      </c>
      <c r="AA24" s="318"/>
      <c r="AB24" s="281"/>
      <c r="AC24" s="61"/>
    </row>
    <row r="25" spans="1:29">
      <c r="A25" s="215"/>
      <c r="H25" s="142"/>
      <c r="I25" s="25" t="s">
        <v>61</v>
      </c>
      <c r="J25" s="96" t="s">
        <v>137</v>
      </c>
      <c r="K25" s="28"/>
      <c r="L25" s="11">
        <f>3*K25</f>
        <v>0</v>
      </c>
      <c r="M25" s="164">
        <v>34</v>
      </c>
      <c r="N25" s="163">
        <f>5*M25</f>
        <v>170</v>
      </c>
      <c r="O25" s="28"/>
      <c r="P25" s="11">
        <f t="shared" si="0"/>
        <v>0</v>
      </c>
      <c r="Q25" s="374"/>
      <c r="R25" s="361">
        <f t="shared" si="1"/>
        <v>170</v>
      </c>
      <c r="S25" s="241"/>
      <c r="T25" s="5"/>
      <c r="U25" s="332" t="s">
        <v>382</v>
      </c>
      <c r="Z25" s="282">
        <f t="shared" si="2"/>
        <v>43682</v>
      </c>
      <c r="AA25" s="318"/>
      <c r="AB25" s="281"/>
      <c r="AC25" s="65"/>
    </row>
    <row r="26" spans="1:29">
      <c r="A26" s="215"/>
      <c r="H26" s="95"/>
      <c r="I26" s="25" t="s">
        <v>14</v>
      </c>
      <c r="J26" s="81" t="s">
        <v>125</v>
      </c>
      <c r="K26" s="228"/>
      <c r="L26" s="227">
        <f>+K26*3</f>
        <v>0</v>
      </c>
      <c r="M26" s="164">
        <v>28</v>
      </c>
      <c r="N26" s="163">
        <f>3*M26</f>
        <v>84</v>
      </c>
      <c r="O26" s="28"/>
      <c r="P26" s="75">
        <f t="shared" si="0"/>
        <v>0</v>
      </c>
      <c r="Q26" s="374"/>
      <c r="R26" s="11">
        <f t="shared" si="1"/>
        <v>84</v>
      </c>
      <c r="S26" s="107">
        <v>150</v>
      </c>
      <c r="T26" s="5"/>
      <c r="Z26" s="282">
        <f t="shared" si="2"/>
        <v>43683</v>
      </c>
      <c r="AA26" s="319"/>
      <c r="AB26" s="281"/>
      <c r="AC26" s="66"/>
    </row>
    <row r="27" spans="1:29">
      <c r="A27" s="215"/>
      <c r="H27" s="242" t="s">
        <v>250</v>
      </c>
      <c r="I27" s="188" t="s">
        <v>79</v>
      </c>
      <c r="J27" s="242" t="s">
        <v>110</v>
      </c>
      <c r="K27" s="192"/>
      <c r="L27" s="193">
        <v>0</v>
      </c>
      <c r="M27" s="160">
        <v>28</v>
      </c>
      <c r="N27" s="161">
        <f>3*M27</f>
        <v>84</v>
      </c>
      <c r="O27" s="192"/>
      <c r="P27" s="193">
        <f t="shared" si="0"/>
        <v>0</v>
      </c>
      <c r="Q27" s="221"/>
      <c r="R27" s="193">
        <f t="shared" si="1"/>
        <v>84</v>
      </c>
      <c r="S27" s="197"/>
      <c r="T27" s="5"/>
      <c r="U27" s="287" t="s">
        <v>347</v>
      </c>
      <c r="Z27" s="314" t="s">
        <v>150</v>
      </c>
      <c r="AA27" s="315">
        <f>SUM(AA16:AA26)</f>
        <v>4</v>
      </c>
      <c r="AB27" s="316" t="s">
        <v>148</v>
      </c>
      <c r="AC27" s="68"/>
    </row>
    <row r="28" spans="1:29">
      <c r="H28" s="83"/>
      <c r="I28" s="269" t="s">
        <v>214</v>
      </c>
      <c r="J28" s="270" t="s">
        <v>215</v>
      </c>
      <c r="K28" s="271"/>
      <c r="L28" s="272">
        <v>0</v>
      </c>
      <c r="M28" s="164"/>
      <c r="N28" s="163">
        <f>3*M28</f>
        <v>0</v>
      </c>
      <c r="O28" s="271"/>
      <c r="P28" s="272">
        <f t="shared" si="0"/>
        <v>0</v>
      </c>
      <c r="Q28" s="374"/>
      <c r="R28" s="272">
        <f t="shared" si="1"/>
        <v>0</v>
      </c>
      <c r="S28" s="274"/>
      <c r="T28" s="5"/>
      <c r="Z28" s="184"/>
      <c r="AA28" s="171">
        <f>SUM(AB16:AB26)</f>
        <v>15</v>
      </c>
      <c r="AB28" s="185" t="s">
        <v>149</v>
      </c>
      <c r="AC28" s="69"/>
    </row>
    <row r="29" spans="1:29" ht="16.5">
      <c r="A29" s="237"/>
      <c r="B29" s="237"/>
      <c r="C29" s="237"/>
      <c r="D29" s="238"/>
      <c r="E29" s="237"/>
      <c r="F29" s="239"/>
      <c r="G29" s="237"/>
      <c r="H29" s="142"/>
      <c r="I29" s="25" t="s">
        <v>45</v>
      </c>
      <c r="J29" s="96" t="s">
        <v>133</v>
      </c>
      <c r="K29" s="29"/>
      <c r="L29" s="27">
        <f>+K29*3</f>
        <v>0</v>
      </c>
      <c r="M29" s="164"/>
      <c r="N29" s="163">
        <f>+M29*3</f>
        <v>0</v>
      </c>
      <c r="O29" s="28">
        <v>24</v>
      </c>
      <c r="P29" s="11">
        <f>IF(O29&gt;25,150,(O29)*6)</f>
        <v>144</v>
      </c>
      <c r="Q29" s="218"/>
      <c r="R29" s="240">
        <f t="shared" si="1"/>
        <v>144</v>
      </c>
      <c r="S29" s="107">
        <v>50</v>
      </c>
      <c r="T29" s="5"/>
      <c r="Z29" s="186" t="s">
        <v>160</v>
      </c>
      <c r="AA29" s="284">
        <f>+AA28/AA27</f>
        <v>3.75</v>
      </c>
      <c r="AB29" s="173" t="s">
        <v>150</v>
      </c>
      <c r="AC29" s="65"/>
    </row>
    <row r="30" spans="1:29">
      <c r="A30" s="215"/>
      <c r="H30" s="142"/>
      <c r="I30" s="25" t="s">
        <v>13</v>
      </c>
      <c r="J30" s="81" t="s">
        <v>319</v>
      </c>
      <c r="K30" s="228"/>
      <c r="L30" s="227">
        <f>3*K30</f>
        <v>0</v>
      </c>
      <c r="M30" s="164">
        <v>3</v>
      </c>
      <c r="N30" s="163">
        <v>0</v>
      </c>
      <c r="O30" s="28"/>
      <c r="P30" s="75">
        <f t="shared" si="0"/>
        <v>0</v>
      </c>
      <c r="Q30" s="374"/>
      <c r="R30" s="240">
        <f t="shared" si="1"/>
        <v>0</v>
      </c>
      <c r="S30" s="107"/>
      <c r="T30" s="5"/>
    </row>
    <row r="31" spans="1:29">
      <c r="A31" s="215"/>
      <c r="H31" s="95"/>
      <c r="I31" s="25" t="s">
        <v>31</v>
      </c>
      <c r="J31" s="81" t="s">
        <v>127</v>
      </c>
      <c r="K31" s="228"/>
      <c r="L31" s="227">
        <v>0</v>
      </c>
      <c r="M31" s="164"/>
      <c r="N31" s="163">
        <v>0</v>
      </c>
      <c r="O31" s="28">
        <v>27</v>
      </c>
      <c r="P31" s="75">
        <f t="shared" si="0"/>
        <v>150</v>
      </c>
      <c r="Q31" s="374"/>
      <c r="R31" s="11">
        <f t="shared" si="1"/>
        <v>150</v>
      </c>
      <c r="S31" s="107">
        <v>50</v>
      </c>
      <c r="T31" s="5"/>
    </row>
    <row r="32" spans="1:29">
      <c r="A32" s="215"/>
      <c r="H32" s="95"/>
      <c r="I32" s="25" t="s">
        <v>30</v>
      </c>
      <c r="J32" s="81" t="s">
        <v>126</v>
      </c>
      <c r="K32" s="228"/>
      <c r="L32" s="227">
        <f>+K32*3</f>
        <v>0</v>
      </c>
      <c r="M32" s="164"/>
      <c r="N32" s="163">
        <f>+M32*3</f>
        <v>0</v>
      </c>
      <c r="O32" s="28">
        <v>30</v>
      </c>
      <c r="P32" s="75">
        <f t="shared" si="0"/>
        <v>150</v>
      </c>
      <c r="Q32" s="218"/>
      <c r="R32" s="320">
        <f t="shared" si="1"/>
        <v>150</v>
      </c>
      <c r="S32" s="107">
        <v>60</v>
      </c>
      <c r="T32" s="5"/>
    </row>
    <row r="33" spans="1:32" s="4" customFormat="1">
      <c r="A33" s="215"/>
      <c r="B33"/>
      <c r="C33"/>
      <c r="D33" s="1"/>
      <c r="E33"/>
      <c r="F33" s="2"/>
      <c r="G33"/>
      <c r="H33" s="83"/>
      <c r="I33" s="269" t="s">
        <v>186</v>
      </c>
      <c r="J33" s="270" t="s">
        <v>187</v>
      </c>
      <c r="K33" s="271"/>
      <c r="L33" s="272">
        <v>0</v>
      </c>
      <c r="M33" s="164">
        <v>33</v>
      </c>
      <c r="N33" s="163">
        <f>+M33*3</f>
        <v>99</v>
      </c>
      <c r="O33" s="271"/>
      <c r="P33" s="272">
        <f t="shared" si="0"/>
        <v>0</v>
      </c>
      <c r="Q33" s="273"/>
      <c r="R33" s="272">
        <f t="shared" si="1"/>
        <v>99</v>
      </c>
      <c r="S33" s="274"/>
      <c r="T33" s="5"/>
      <c r="U33"/>
      <c r="V33" s="46"/>
      <c r="W33"/>
      <c r="X33"/>
      <c r="Y33"/>
      <c r="Z33"/>
      <c r="AA33"/>
      <c r="AB33"/>
      <c r="AC33"/>
      <c r="AD33"/>
      <c r="AE33"/>
      <c r="AF33"/>
    </row>
    <row r="34" spans="1:32">
      <c r="A34" s="215"/>
      <c r="H34" s="83"/>
      <c r="I34" s="25" t="s">
        <v>17</v>
      </c>
      <c r="J34" s="81" t="s">
        <v>123</v>
      </c>
      <c r="K34" s="228"/>
      <c r="L34" s="227">
        <f>+K34*3</f>
        <v>0</v>
      </c>
      <c r="M34" s="164">
        <v>23</v>
      </c>
      <c r="N34" s="163">
        <v>0</v>
      </c>
      <c r="O34" s="74"/>
      <c r="P34" s="75">
        <f>IF(O34&gt;25,150,(O34)*6)</f>
        <v>0</v>
      </c>
      <c r="Q34" s="218"/>
      <c r="R34" s="11">
        <f t="shared" si="1"/>
        <v>0</v>
      </c>
      <c r="S34" s="107"/>
      <c r="T34" s="5"/>
    </row>
    <row r="35" spans="1:32">
      <c r="A35" s="215"/>
      <c r="H35" s="83"/>
      <c r="I35" s="25" t="s">
        <v>60</v>
      </c>
      <c r="J35" s="81" t="s">
        <v>132</v>
      </c>
      <c r="K35" s="228"/>
      <c r="L35" s="227">
        <v>0</v>
      </c>
      <c r="M35" s="164"/>
      <c r="N35" s="163">
        <v>0</v>
      </c>
      <c r="O35" s="74"/>
      <c r="P35" s="75">
        <f>IF(O35&gt;25,150,(O35)*6)</f>
        <v>0</v>
      </c>
      <c r="Q35" s="218"/>
      <c r="R35" s="11">
        <f>+L35+N35+P35+Q35</f>
        <v>0</v>
      </c>
      <c r="S35" s="107"/>
      <c r="T35" s="5"/>
    </row>
    <row r="36" spans="1:32">
      <c r="H36" s="142"/>
      <c r="I36" s="25" t="s">
        <v>233</v>
      </c>
      <c r="J36" s="81" t="s">
        <v>234</v>
      </c>
      <c r="K36" s="228"/>
      <c r="L36" s="227">
        <v>0</v>
      </c>
      <c r="M36" s="164">
        <v>29</v>
      </c>
      <c r="N36" s="163">
        <f>3*M36</f>
        <v>87</v>
      </c>
      <c r="O36" s="28"/>
      <c r="P36" s="75">
        <f t="shared" si="0"/>
        <v>0</v>
      </c>
      <c r="Q36" s="374"/>
      <c r="R36" s="11">
        <f>+L36+N36+P36+Q36</f>
        <v>87</v>
      </c>
      <c r="S36" s="107"/>
      <c r="T36" s="5"/>
    </row>
    <row r="37" spans="1:32">
      <c r="H37" s="251" t="s">
        <v>50</v>
      </c>
      <c r="I37" s="275" t="s">
        <v>469</v>
      </c>
      <c r="J37" s="276" t="s">
        <v>470</v>
      </c>
      <c r="K37" s="277"/>
      <c r="L37" s="278">
        <v>0</v>
      </c>
      <c r="M37" s="160"/>
      <c r="N37" s="161">
        <v>0</v>
      </c>
      <c r="O37" s="277">
        <v>21</v>
      </c>
      <c r="P37" s="278">
        <f t="shared" si="0"/>
        <v>126</v>
      </c>
      <c r="Q37" s="279"/>
      <c r="R37" s="278">
        <f t="shared" si="1"/>
        <v>126</v>
      </c>
      <c r="S37" s="280"/>
      <c r="T37" s="5"/>
    </row>
    <row r="38" spans="1:32">
      <c r="A38" s="215"/>
      <c r="H38" s="95"/>
      <c r="I38" s="25" t="s">
        <v>8</v>
      </c>
      <c r="J38" s="81" t="s">
        <v>120</v>
      </c>
      <c r="K38" s="228"/>
      <c r="L38" s="227">
        <v>0</v>
      </c>
      <c r="M38" s="164"/>
      <c r="N38" s="163">
        <v>0</v>
      </c>
      <c r="O38" s="28">
        <v>26</v>
      </c>
      <c r="P38" s="75">
        <f t="shared" si="0"/>
        <v>150</v>
      </c>
      <c r="Q38" s="218"/>
      <c r="R38" s="11">
        <f t="shared" si="1"/>
        <v>150</v>
      </c>
      <c r="S38" s="107">
        <v>60</v>
      </c>
      <c r="T38" s="5"/>
      <c r="AF38" s="4"/>
    </row>
    <row r="39" spans="1:32">
      <c r="A39" s="215"/>
      <c r="H39" s="95"/>
      <c r="I39" s="25" t="s">
        <v>11</v>
      </c>
      <c r="J39" s="81" t="s">
        <v>130</v>
      </c>
      <c r="K39" s="228"/>
      <c r="L39" s="227">
        <f>+K39*3</f>
        <v>0</v>
      </c>
      <c r="M39" s="164"/>
      <c r="N39" s="163">
        <v>0</v>
      </c>
      <c r="O39" s="28">
        <v>25</v>
      </c>
      <c r="P39" s="75">
        <f t="shared" si="0"/>
        <v>150</v>
      </c>
      <c r="Q39" s="374"/>
      <c r="R39" s="11">
        <f t="shared" si="1"/>
        <v>150</v>
      </c>
      <c r="S39" s="107">
        <v>60</v>
      </c>
      <c r="T39" s="5"/>
    </row>
    <row r="40" spans="1:32" ht="15.75">
      <c r="H40" s="83"/>
      <c r="I40" s="25" t="s">
        <v>6</v>
      </c>
      <c r="J40" s="96" t="s">
        <v>116</v>
      </c>
      <c r="K40" s="228"/>
      <c r="L40" s="227">
        <f>+K40*3</f>
        <v>0</v>
      </c>
      <c r="M40" s="164"/>
      <c r="N40" s="163">
        <f>+M40*3</f>
        <v>0</v>
      </c>
      <c r="O40" s="74">
        <v>23</v>
      </c>
      <c r="P40" s="75">
        <f t="shared" si="0"/>
        <v>138</v>
      </c>
      <c r="Q40" s="220"/>
      <c r="R40" s="11">
        <f t="shared" si="1"/>
        <v>138</v>
      </c>
      <c r="S40" s="107"/>
      <c r="T40" s="5"/>
      <c r="V40" s="375">
        <v>12</v>
      </c>
      <c r="W40" s="376">
        <f>+V40/7*6</f>
        <v>10.285714285714285</v>
      </c>
    </row>
    <row r="41" spans="1:32" ht="15.75">
      <c r="H41" s="95"/>
      <c r="I41" s="25" t="s">
        <v>53</v>
      </c>
      <c r="J41" s="81" t="s">
        <v>135</v>
      </c>
      <c r="K41" s="228"/>
      <c r="L41" s="227">
        <v>0</v>
      </c>
      <c r="M41" s="164"/>
      <c r="N41" s="163">
        <v>0</v>
      </c>
      <c r="O41" s="28"/>
      <c r="P41" s="75">
        <f t="shared" si="0"/>
        <v>0</v>
      </c>
      <c r="Q41" s="218"/>
      <c r="R41" s="11">
        <f t="shared" si="1"/>
        <v>0</v>
      </c>
      <c r="S41" s="107"/>
      <c r="T41" s="5"/>
      <c r="V41" s="375">
        <v>20</v>
      </c>
      <c r="W41" s="376">
        <f>+V41/7*6</f>
        <v>17.142857142857142</v>
      </c>
    </row>
    <row r="42" spans="1:32" ht="15.75">
      <c r="H42" s="81"/>
      <c r="I42" s="120" t="s">
        <v>12</v>
      </c>
      <c r="J42" s="121" t="s">
        <v>114</v>
      </c>
      <c r="K42" s="122"/>
      <c r="L42" s="15">
        <v>0</v>
      </c>
      <c r="M42" s="165">
        <v>29</v>
      </c>
      <c r="N42" s="166">
        <f>3*M42</f>
        <v>87</v>
      </c>
      <c r="O42" s="122"/>
      <c r="P42" s="15">
        <f t="shared" si="0"/>
        <v>0</v>
      </c>
      <c r="Q42" s="222"/>
      <c r="R42" s="362">
        <f t="shared" si="1"/>
        <v>87</v>
      </c>
      <c r="S42" s="389">
        <v>50</v>
      </c>
      <c r="T42" s="5"/>
      <c r="V42" s="375">
        <v>8</v>
      </c>
      <c r="W42" s="377">
        <f>+W41-W40</f>
        <v>6.8571428571428577</v>
      </c>
    </row>
    <row r="43" spans="1:32">
      <c r="I43" s="13"/>
      <c r="J43" s="14"/>
      <c r="K43" s="234">
        <f t="shared" ref="K43:S43" si="3">SUM(K4:K42)</f>
        <v>0</v>
      </c>
      <c r="L43" s="235">
        <f t="shared" si="3"/>
        <v>0</v>
      </c>
      <c r="M43" s="167">
        <f t="shared" si="3"/>
        <v>292</v>
      </c>
      <c r="N43" s="168">
        <f t="shared" si="3"/>
        <v>794</v>
      </c>
      <c r="O43" s="77">
        <f t="shared" si="3"/>
        <v>524</v>
      </c>
      <c r="P43" s="78">
        <f t="shared" si="3"/>
        <v>2904</v>
      </c>
      <c r="Q43" s="323">
        <f t="shared" si="3"/>
        <v>0</v>
      </c>
      <c r="R43" s="78">
        <f t="shared" si="3"/>
        <v>3698</v>
      </c>
      <c r="S43" s="102">
        <f t="shared" si="3"/>
        <v>900</v>
      </c>
      <c r="T43" s="5"/>
    </row>
    <row r="44" spans="1:32">
      <c r="J44" s="200">
        <f ca="1">TODAY()</f>
        <v>43825</v>
      </c>
      <c r="K44" s="41"/>
      <c r="M44" s="42"/>
      <c r="N44" s="41"/>
      <c r="O44" s="45" t="s">
        <v>81</v>
      </c>
      <c r="Q44" s="42"/>
      <c r="R44" s="45">
        <f>+R5+R7+R9+R13+R14+R18+R27+R37</f>
        <v>660</v>
      </c>
      <c r="T44" s="5"/>
    </row>
    <row r="45" spans="1:32">
      <c r="L45" s="43"/>
      <c r="M45" s="44"/>
      <c r="N45" s="125"/>
      <c r="O45" s="43" t="s">
        <v>91</v>
      </c>
      <c r="P45" s="114">
        <v>2622</v>
      </c>
      <c r="Q45" s="110" t="s">
        <v>58</v>
      </c>
      <c r="R45" s="111">
        <f>+R43-R44</f>
        <v>3038</v>
      </c>
      <c r="S45" s="109"/>
      <c r="T45" s="5"/>
    </row>
    <row r="46" spans="1:32">
      <c r="P46" s="19"/>
      <c r="T46" s="5"/>
      <c r="AC46">
        <v>4</v>
      </c>
    </row>
    <row r="47" spans="1:32" ht="15" customHeight="1">
      <c r="I47" s="330" t="s">
        <v>499</v>
      </c>
      <c r="P47" s="1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I48" s="331" t="s">
        <v>500</v>
      </c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30" t="s">
        <v>501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30" t="s">
        <v>502</v>
      </c>
      <c r="P50" s="19"/>
      <c r="T50" s="5"/>
    </row>
    <row r="51" spans="9:29">
      <c r="I51" s="330" t="s">
        <v>503</v>
      </c>
      <c r="P51" s="19"/>
    </row>
    <row r="52" spans="9:29">
      <c r="I52" s="330" t="s">
        <v>504</v>
      </c>
      <c r="P52" s="19"/>
      <c r="V52" s="59"/>
      <c r="W52" s="60"/>
      <c r="X52" s="61"/>
    </row>
    <row r="53" spans="9:29">
      <c r="I53" s="330" t="s">
        <v>505</v>
      </c>
      <c r="U53" s="58"/>
      <c r="V53" s="59"/>
      <c r="W53" s="60"/>
      <c r="X53" s="61"/>
    </row>
    <row r="54" spans="9:29">
      <c r="I54" s="330" t="s">
        <v>506</v>
      </c>
      <c r="U54" s="58"/>
      <c r="V54" s="59"/>
      <c r="W54" s="60"/>
      <c r="X54" s="61"/>
    </row>
    <row r="55" spans="9:29">
      <c r="U55" s="58"/>
      <c r="V55" s="59"/>
      <c r="W55" s="60"/>
      <c r="X55" s="60"/>
    </row>
    <row r="56" spans="9:29">
      <c r="U56" s="58"/>
      <c r="V56" s="59"/>
      <c r="W56" s="60"/>
      <c r="X56" s="60"/>
    </row>
    <row r="57" spans="9:29">
      <c r="U57" s="58"/>
      <c r="V57" s="59"/>
      <c r="W57" s="62"/>
      <c r="X57" s="60"/>
    </row>
    <row r="58" spans="9:29">
      <c r="U58" s="58"/>
      <c r="V58" s="59"/>
      <c r="W58" s="62"/>
      <c r="X58" s="60"/>
    </row>
    <row r="59" spans="9:29">
      <c r="U59" s="64"/>
      <c r="V59" s="59"/>
      <c r="W59" s="60"/>
      <c r="X59" s="60"/>
    </row>
    <row r="60" spans="9:29">
      <c r="U60" s="58"/>
      <c r="V60" s="66"/>
      <c r="W60" s="67"/>
      <c r="X60" s="60"/>
    </row>
    <row r="61" spans="9:29">
      <c r="U61" s="60"/>
      <c r="V61" s="59"/>
      <c r="W61" s="60"/>
    </row>
    <row r="62" spans="9:29">
      <c r="U62" s="60"/>
      <c r="V62" s="59"/>
      <c r="W62" s="60"/>
    </row>
    <row r="63" spans="9:29">
      <c r="U63" s="60"/>
      <c r="V63" s="59"/>
      <c r="W63" s="60"/>
    </row>
    <row r="64" spans="9:29">
      <c r="U64" s="60"/>
      <c r="V64" s="59"/>
      <c r="W64" s="60"/>
    </row>
    <row r="65" spans="21:23">
      <c r="U65" s="60"/>
      <c r="V65" s="59"/>
      <c r="W65" s="60"/>
    </row>
    <row r="66" spans="21:23">
      <c r="U66" s="60"/>
      <c r="V66" s="59"/>
      <c r="W66" s="60"/>
    </row>
  </sheetData>
  <mergeCells count="3">
    <mergeCell ref="I2:R2"/>
    <mergeCell ref="T2:V2"/>
    <mergeCell ref="AC14:AC15"/>
  </mergeCells>
  <conditionalFormatting sqref="R4">
    <cfRule type="cellIs" dxfId="116" priority="2" operator="lessThanOrEqual">
      <formula>0</formula>
    </cfRule>
  </conditionalFormatting>
  <conditionalFormatting sqref="R4:R42">
    <cfRule type="cellIs" dxfId="115" priority="1" operator="greaterThan">
      <formula>0</formula>
    </cfRule>
  </conditionalFormatting>
  <printOptions horizontalCentered="1"/>
  <pageMargins left="0" right="0" top="1.34" bottom="0" header="0" footer="0"/>
  <pageSetup paperSize="9" scale="92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55"/>
  <sheetViews>
    <sheetView zoomScale="85" zoomScaleNormal="85" workbookViewId="0">
      <pane xSplit="10" ySplit="4" topLeftCell="K44" activePane="bottomRight" state="frozen"/>
      <selection pane="topRight" activeCell="K1" sqref="K1"/>
      <selection pane="bottomLeft" activeCell="A5" sqref="A5"/>
      <selection pane="bottomRight" activeCell="K44" sqref="K44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5.42578125" customWidth="1"/>
    <col min="9" max="9" width="7.7109375" customWidth="1"/>
    <col min="10" max="10" width="23" customWidth="1"/>
    <col min="11" max="11" width="4.7109375" customWidth="1"/>
    <col min="12" max="12" width="5.7109375" customWidth="1"/>
    <col min="13" max="13" width="6.140625" customWidth="1"/>
    <col min="14" max="14" width="11.28515625" customWidth="1"/>
    <col min="15" max="15" width="6.140625" customWidth="1"/>
    <col min="16" max="16" width="11.42578125" customWidth="1"/>
    <col min="17" max="17" width="6.7109375" customWidth="1"/>
    <col min="18" max="18" width="13.85546875" customWidth="1"/>
    <col min="19" max="19" width="5.710937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4" ht="5.0999999999999996" customHeight="1"/>
    <row r="2" spans="8:24">
      <c r="H2" s="83"/>
      <c r="I2" s="439" t="s">
        <v>211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4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4" ht="42.75" customHeight="1">
      <c r="H4" s="83" t="s">
        <v>143</v>
      </c>
      <c r="I4" s="86" t="s">
        <v>7</v>
      </c>
      <c r="J4" s="86" t="s">
        <v>3</v>
      </c>
      <c r="K4" s="225" t="s">
        <v>15</v>
      </c>
      <c r="L4" s="225" t="s">
        <v>208</v>
      </c>
      <c r="M4" s="198" t="s">
        <v>15</v>
      </c>
      <c r="N4" s="198" t="s">
        <v>216</v>
      </c>
      <c r="O4" s="87" t="s">
        <v>15</v>
      </c>
      <c r="P4" s="87" t="s">
        <v>212</v>
      </c>
      <c r="Q4" s="99" t="s">
        <v>213</v>
      </c>
      <c r="R4" s="88" t="s">
        <v>103</v>
      </c>
      <c r="S4" s="139" t="s">
        <v>104</v>
      </c>
      <c r="T4" s="89"/>
      <c r="U4" s="83"/>
      <c r="V4" s="83"/>
    </row>
    <row r="5" spans="8:24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f>+M5*3</f>
        <v>0</v>
      </c>
      <c r="O5" s="76">
        <v>34</v>
      </c>
      <c r="P5" s="75">
        <f t="shared" ref="P5:P14" si="0">IF(O5&gt;25,150,(O5)*6)</f>
        <v>150</v>
      </c>
      <c r="Q5" s="217"/>
      <c r="R5" s="11">
        <f t="shared" ref="R5:R41" si="1">+L5+N5+P5+Q5</f>
        <v>150</v>
      </c>
      <c r="S5" s="106"/>
      <c r="T5" s="5"/>
      <c r="U5" s="92">
        <v>828</v>
      </c>
      <c r="V5" s="93">
        <v>107.64</v>
      </c>
      <c r="W5" s="94">
        <v>720.36</v>
      </c>
      <c r="X5" s="70" t="s">
        <v>36</v>
      </c>
    </row>
    <row r="6" spans="8:24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0">
        <f>+V6+W6</f>
        <v>827.58620689655174</v>
      </c>
      <c r="V6" s="71">
        <f>+V5*W6/W5</f>
        <v>107.58620689655173</v>
      </c>
      <c r="W6" s="31">
        <v>720</v>
      </c>
      <c r="X6" s="36"/>
    </row>
    <row r="7" spans="8:24">
      <c r="H7" s="83"/>
      <c r="I7" s="126" t="s">
        <v>64</v>
      </c>
      <c r="J7" s="80" t="s">
        <v>138</v>
      </c>
      <c r="K7" s="226"/>
      <c r="L7" s="227">
        <f>+K7*3</f>
        <v>0</v>
      </c>
      <c r="M7" s="162">
        <v>8</v>
      </c>
      <c r="N7" s="163">
        <v>0</v>
      </c>
      <c r="O7" s="76">
        <v>2</v>
      </c>
      <c r="P7" s="75">
        <f t="shared" si="0"/>
        <v>12</v>
      </c>
      <c r="Q7" s="217"/>
      <c r="R7" s="11">
        <f t="shared" si="1"/>
        <v>12</v>
      </c>
      <c r="S7" s="106"/>
      <c r="T7" s="5"/>
      <c r="U7" s="32">
        <f>+U5-U6</f>
        <v>0.41379310344825626</v>
      </c>
      <c r="V7" s="47"/>
      <c r="W7" s="33"/>
      <c r="X7" s="4" t="s">
        <v>59</v>
      </c>
    </row>
    <row r="8" spans="8:24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>
        <v>46</v>
      </c>
      <c r="P8" s="75">
        <f t="shared" si="0"/>
        <v>150</v>
      </c>
      <c r="Q8" s="217"/>
      <c r="R8" s="11">
        <f t="shared" si="1"/>
        <v>150</v>
      </c>
      <c r="S8" s="138"/>
      <c r="T8" s="5"/>
      <c r="U8" s="34">
        <v>150</v>
      </c>
      <c r="V8" s="38">
        <f>+U8-U7</f>
        <v>149.58620689655174</v>
      </c>
      <c r="W8" s="39" t="s">
        <v>63</v>
      </c>
      <c r="X8" s="6">
        <f>150-V8</f>
        <v>0.41379310344825626</v>
      </c>
    </row>
    <row r="9" spans="8:24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>
        <v>38</v>
      </c>
      <c r="P9" s="75">
        <f t="shared" si="0"/>
        <v>150</v>
      </c>
      <c r="Q9" s="218"/>
      <c r="R9" s="11">
        <f t="shared" si="1"/>
        <v>150</v>
      </c>
      <c r="S9" s="107"/>
      <c r="T9" s="5"/>
      <c r="U9" s="10"/>
      <c r="X9" s="37"/>
    </row>
    <row r="10" spans="8:24" ht="15" customHeight="1">
      <c r="H10" s="83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74"/>
      <c r="P10" s="75">
        <f t="shared" si="0"/>
        <v>0</v>
      </c>
      <c r="Q10" s="217"/>
      <c r="R10" s="9">
        <f t="shared" si="1"/>
        <v>0</v>
      </c>
      <c r="S10" s="107"/>
      <c r="T10" s="5"/>
      <c r="U10" s="92">
        <v>856</v>
      </c>
      <c r="V10" s="93">
        <v>110.51</v>
      </c>
      <c r="W10" s="94">
        <v>745.49</v>
      </c>
      <c r="X10" s="70" t="s">
        <v>35</v>
      </c>
    </row>
    <row r="11" spans="8:24">
      <c r="H11" s="141"/>
      <c r="I11" s="126" t="s">
        <v>56</v>
      </c>
      <c r="J11" s="80" t="s">
        <v>136</v>
      </c>
      <c r="K11" s="226"/>
      <c r="L11" s="227">
        <v>0</v>
      </c>
      <c r="M11" s="162"/>
      <c r="N11" s="163">
        <v>0</v>
      </c>
      <c r="O11" s="74">
        <v>39</v>
      </c>
      <c r="P11" s="75">
        <f t="shared" si="0"/>
        <v>150</v>
      </c>
      <c r="Q11" s="217"/>
      <c r="R11" s="9">
        <f t="shared" si="1"/>
        <v>150</v>
      </c>
      <c r="S11" s="107"/>
      <c r="T11" s="5"/>
      <c r="U11" s="30">
        <f>+V11+W11</f>
        <v>826.7314115548163</v>
      </c>
      <c r="V11" s="71">
        <f>+V10*W11/W10</f>
        <v>106.73141155481629</v>
      </c>
      <c r="W11" s="31">
        <v>720</v>
      </c>
      <c r="X11" s="37"/>
    </row>
    <row r="12" spans="8:24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>
        <v>32</v>
      </c>
      <c r="P12" s="75">
        <f t="shared" si="0"/>
        <v>150</v>
      </c>
      <c r="Q12" s="218"/>
      <c r="R12" s="9">
        <f t="shared" si="1"/>
        <v>150</v>
      </c>
      <c r="S12" s="106"/>
      <c r="T12" s="5"/>
      <c r="U12" s="32">
        <f>+U10-U11</f>
        <v>29.268588445183696</v>
      </c>
      <c r="V12" s="47"/>
      <c r="W12" s="33"/>
      <c r="X12" s="4" t="s">
        <v>59</v>
      </c>
    </row>
    <row r="13" spans="8:24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120.7314115548163</v>
      </c>
      <c r="W13" s="39" t="s">
        <v>63</v>
      </c>
      <c r="X13" s="6">
        <f>150-V13</f>
        <v>29.268588445183696</v>
      </c>
    </row>
    <row r="14" spans="8:24">
      <c r="H14" s="95"/>
      <c r="I14" s="25" t="s">
        <v>20</v>
      </c>
      <c r="J14" s="81" t="s">
        <v>195</v>
      </c>
      <c r="K14" s="228"/>
      <c r="L14" s="227">
        <f>+K14*3</f>
        <v>0</v>
      </c>
      <c r="M14" s="164"/>
      <c r="N14" s="163">
        <f>+M14*3</f>
        <v>0</v>
      </c>
      <c r="O14" s="28">
        <v>31</v>
      </c>
      <c r="P14" s="75">
        <f t="shared" si="0"/>
        <v>150</v>
      </c>
      <c r="Q14" s="218"/>
      <c r="R14" s="9">
        <f t="shared" si="1"/>
        <v>150</v>
      </c>
      <c r="S14" s="107"/>
      <c r="T14" s="5"/>
      <c r="U14" s="10"/>
      <c r="X14" s="37"/>
    </row>
    <row r="15" spans="8:24">
      <c r="H15" s="95"/>
      <c r="I15" s="25" t="s">
        <v>69</v>
      </c>
      <c r="J15" s="81" t="s">
        <v>196</v>
      </c>
      <c r="K15" s="228"/>
      <c r="L15" s="227">
        <v>0</v>
      </c>
      <c r="M15" s="164">
        <v>8</v>
      </c>
      <c r="N15" s="163">
        <v>0</v>
      </c>
      <c r="O15" s="28"/>
      <c r="P15" s="75"/>
      <c r="Q15" s="218">
        <v>10</v>
      </c>
      <c r="R15" s="11">
        <f t="shared" si="1"/>
        <v>10</v>
      </c>
      <c r="S15" s="107"/>
      <c r="T15" s="5"/>
      <c r="U15" s="92">
        <f>644+150</f>
        <v>794</v>
      </c>
      <c r="V15" s="93">
        <v>0</v>
      </c>
      <c r="W15" s="101">
        <v>769.08</v>
      </c>
      <c r="X15" s="100" t="s">
        <v>21</v>
      </c>
    </row>
    <row r="16" spans="8:24">
      <c r="H16" s="95"/>
      <c r="I16" s="25" t="s">
        <v>25</v>
      </c>
      <c r="J16" s="81" t="s">
        <v>118</v>
      </c>
      <c r="K16" s="228"/>
      <c r="L16" s="227">
        <f>+K16*3</f>
        <v>0</v>
      </c>
      <c r="M16" s="164"/>
      <c r="N16" s="163">
        <f>+M16*3</f>
        <v>0</v>
      </c>
      <c r="O16" s="28">
        <v>32</v>
      </c>
      <c r="P16" s="75">
        <f t="shared" ref="P16:P27" si="2">IF(O16&gt;25,150,(O16)*6)</f>
        <v>150</v>
      </c>
      <c r="Q16" s="218"/>
      <c r="R16" s="11">
        <f t="shared" si="1"/>
        <v>150</v>
      </c>
      <c r="S16" s="107"/>
      <c r="T16" s="5"/>
      <c r="U16" s="30">
        <f>+V16+W16</f>
        <v>720</v>
      </c>
      <c r="V16" s="71">
        <f>+V15*W16/W15</f>
        <v>0</v>
      </c>
      <c r="W16" s="31">
        <v>720</v>
      </c>
      <c r="X16" s="37"/>
    </row>
    <row r="17" spans="1:24">
      <c r="H17" s="95"/>
      <c r="I17" s="25" t="s">
        <v>41</v>
      </c>
      <c r="J17" s="81" t="s">
        <v>112</v>
      </c>
      <c r="K17" s="228"/>
      <c r="L17" s="227">
        <f>+K17*3</f>
        <v>0</v>
      </c>
      <c r="M17" s="164"/>
      <c r="N17" s="163">
        <f>+M17*3</f>
        <v>0</v>
      </c>
      <c r="O17" s="28"/>
      <c r="P17" s="75">
        <f t="shared" si="2"/>
        <v>0</v>
      </c>
      <c r="Q17" s="218"/>
      <c r="R17" s="11">
        <f t="shared" si="1"/>
        <v>0</v>
      </c>
      <c r="S17" s="107"/>
      <c r="T17" s="5"/>
      <c r="U17" s="32">
        <f>+U15-U16</f>
        <v>74</v>
      </c>
      <c r="V17" s="47"/>
      <c r="W17" s="33"/>
      <c r="X17" s="4" t="s">
        <v>59</v>
      </c>
    </row>
    <row r="18" spans="1:24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162"/>
      <c r="N18" s="163">
        <f>5*M18</f>
        <v>0</v>
      </c>
      <c r="O18" s="76">
        <v>30</v>
      </c>
      <c r="P18" s="75">
        <f t="shared" si="2"/>
        <v>150</v>
      </c>
      <c r="Q18" s="217"/>
      <c r="R18" s="11">
        <f t="shared" si="1"/>
        <v>150</v>
      </c>
      <c r="S18" s="106"/>
      <c r="T18" s="5"/>
      <c r="U18" s="34">
        <v>150</v>
      </c>
      <c r="V18" s="38">
        <f>+U18-U17</f>
        <v>76</v>
      </c>
      <c r="W18" s="39" t="s">
        <v>63</v>
      </c>
      <c r="X18" s="6">
        <f>150-V18</f>
        <v>74</v>
      </c>
    </row>
    <row r="19" spans="1:24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164"/>
      <c r="N19" s="163">
        <f>+M19*3</f>
        <v>0</v>
      </c>
      <c r="O19" s="74">
        <v>42</v>
      </c>
      <c r="P19" s="75">
        <f t="shared" si="2"/>
        <v>150</v>
      </c>
      <c r="Q19" s="217"/>
      <c r="R19" s="9">
        <f t="shared" si="1"/>
        <v>150</v>
      </c>
      <c r="S19" s="107"/>
      <c r="T19" s="5"/>
      <c r="U19" s="10"/>
      <c r="X19" s="37"/>
    </row>
    <row r="20" spans="1:24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164">
        <v>5</v>
      </c>
      <c r="N20" s="163">
        <v>0</v>
      </c>
      <c r="O20" s="74"/>
      <c r="P20" s="75">
        <f t="shared" si="2"/>
        <v>0</v>
      </c>
      <c r="Q20" s="217"/>
      <c r="R20" s="9">
        <f t="shared" si="1"/>
        <v>0</v>
      </c>
      <c r="S20" s="107"/>
      <c r="T20" s="5"/>
      <c r="U20" s="58"/>
      <c r="V20" s="59"/>
      <c r="W20" s="60"/>
      <c r="X20" s="61"/>
    </row>
    <row r="21" spans="1:24">
      <c r="A21" s="215"/>
      <c r="H21" s="142"/>
      <c r="I21" s="25" t="s">
        <v>4</v>
      </c>
      <c r="J21" s="81" t="s">
        <v>111</v>
      </c>
      <c r="K21" s="228"/>
      <c r="L21" s="227">
        <v>0</v>
      </c>
      <c r="M21" s="164">
        <v>11</v>
      </c>
      <c r="N21" s="163">
        <v>0</v>
      </c>
      <c r="O21" s="28"/>
      <c r="P21" s="75">
        <f t="shared" si="2"/>
        <v>0</v>
      </c>
      <c r="Q21" s="218"/>
      <c r="R21" s="11">
        <f t="shared" si="1"/>
        <v>0</v>
      </c>
      <c r="S21" s="107"/>
      <c r="T21" s="5"/>
      <c r="U21" s="103" t="s">
        <v>161</v>
      </c>
    </row>
    <row r="22" spans="1:24">
      <c r="A22" s="215"/>
      <c r="H22" s="201" t="s">
        <v>50</v>
      </c>
      <c r="I22" s="21" t="s">
        <v>9</v>
      </c>
      <c r="J22" s="20" t="s">
        <v>128</v>
      </c>
      <c r="K22" s="229"/>
      <c r="L22" s="230">
        <v>0</v>
      </c>
      <c r="M22" s="160"/>
      <c r="N22" s="161">
        <v>0</v>
      </c>
      <c r="O22" s="23">
        <v>33</v>
      </c>
      <c r="P22" s="24">
        <f t="shared" si="2"/>
        <v>150</v>
      </c>
      <c r="Q22" s="219"/>
      <c r="R22" s="24">
        <f t="shared" si="1"/>
        <v>150</v>
      </c>
      <c r="S22" s="108"/>
      <c r="T22" s="5"/>
      <c r="U22" s="176" t="s">
        <v>158</v>
      </c>
      <c r="V22" s="177" t="s">
        <v>159</v>
      </c>
      <c r="W22" s="178"/>
      <c r="X22" s="174" t="s">
        <v>157</v>
      </c>
    </row>
    <row r="23" spans="1:24">
      <c r="A23" s="215"/>
      <c r="H23" s="214" t="s">
        <v>165</v>
      </c>
      <c r="I23" s="188" t="s">
        <v>51</v>
      </c>
      <c r="J23" s="189" t="s">
        <v>134</v>
      </c>
      <c r="K23" s="231"/>
      <c r="L23" s="56">
        <f>+K23*3</f>
        <v>0</v>
      </c>
      <c r="M23" s="192"/>
      <c r="N23" s="193">
        <f>+M23*3</f>
        <v>0</v>
      </c>
      <c r="O23" s="192">
        <v>38</v>
      </c>
      <c r="P23" s="193">
        <f t="shared" si="2"/>
        <v>150</v>
      </c>
      <c r="Q23" s="221"/>
      <c r="R23" s="196">
        <f t="shared" si="1"/>
        <v>150</v>
      </c>
      <c r="S23" s="197"/>
      <c r="T23" s="5"/>
      <c r="U23" s="179">
        <v>43480</v>
      </c>
      <c r="V23" s="170">
        <v>1</v>
      </c>
      <c r="W23" s="180"/>
      <c r="X23" s="33" t="s">
        <v>156</v>
      </c>
    </row>
    <row r="24" spans="1:24">
      <c r="A24" s="215"/>
      <c r="H24" s="83"/>
      <c r="I24" s="126" t="s">
        <v>61</v>
      </c>
      <c r="J24" s="80" t="s">
        <v>137</v>
      </c>
      <c r="K24" s="226"/>
      <c r="L24" s="227">
        <f>3*K24</f>
        <v>0</v>
      </c>
      <c r="M24" s="162">
        <v>10</v>
      </c>
      <c r="N24" s="163">
        <v>0</v>
      </c>
      <c r="O24" s="72"/>
      <c r="P24" s="75">
        <f t="shared" si="2"/>
        <v>0</v>
      </c>
      <c r="Q24" s="217"/>
      <c r="R24" s="11">
        <f t="shared" si="1"/>
        <v>0</v>
      </c>
      <c r="S24" s="106"/>
      <c r="T24" s="5"/>
      <c r="U24" s="179">
        <f>1+U23</f>
        <v>43481</v>
      </c>
      <c r="V24" s="170">
        <v>1</v>
      </c>
      <c r="W24" s="181"/>
      <c r="X24" s="33" t="s">
        <v>151</v>
      </c>
    </row>
    <row r="25" spans="1:24">
      <c r="A25" s="215"/>
      <c r="H25" s="83"/>
      <c r="I25" s="25" t="s">
        <v>14</v>
      </c>
      <c r="J25" s="96" t="s">
        <v>125</v>
      </c>
      <c r="K25" s="228"/>
      <c r="L25" s="227">
        <f>+K25*3</f>
        <v>0</v>
      </c>
      <c r="M25" s="164">
        <v>10</v>
      </c>
      <c r="N25" s="163">
        <v>0</v>
      </c>
      <c r="O25" s="74"/>
      <c r="P25" s="75">
        <f t="shared" si="2"/>
        <v>0</v>
      </c>
      <c r="Q25" s="218"/>
      <c r="R25" s="11">
        <f t="shared" si="1"/>
        <v>0</v>
      </c>
      <c r="S25" s="107"/>
      <c r="T25" s="5"/>
      <c r="U25" s="179">
        <f>1+U24</f>
        <v>43482</v>
      </c>
      <c r="V25" s="170">
        <v>1</v>
      </c>
      <c r="W25" s="182"/>
      <c r="X25" s="33" t="s">
        <v>152</v>
      </c>
    </row>
    <row r="26" spans="1:24">
      <c r="A26" s="215"/>
      <c r="H26" s="83"/>
      <c r="I26" s="126" t="s">
        <v>79</v>
      </c>
      <c r="J26" s="82" t="s">
        <v>110</v>
      </c>
      <c r="K26" s="228"/>
      <c r="L26" s="227">
        <v>0</v>
      </c>
      <c r="M26" s="164"/>
      <c r="N26" s="163">
        <f>3*M26</f>
        <v>0</v>
      </c>
      <c r="O26" s="76">
        <v>38</v>
      </c>
      <c r="P26" s="75">
        <f t="shared" si="2"/>
        <v>150</v>
      </c>
      <c r="Q26" s="217"/>
      <c r="R26" s="11">
        <f t="shared" si="1"/>
        <v>150</v>
      </c>
      <c r="S26" s="106"/>
      <c r="T26" s="5"/>
      <c r="U26" s="179">
        <f>1+U25</f>
        <v>43483</v>
      </c>
      <c r="V26" s="170">
        <v>1</v>
      </c>
      <c r="W26" s="181"/>
      <c r="X26" s="33" t="s">
        <v>153</v>
      </c>
    </row>
    <row r="27" spans="1:24">
      <c r="H27" s="201" t="s">
        <v>50</v>
      </c>
      <c r="I27" s="202" t="s">
        <v>214</v>
      </c>
      <c r="J27" s="236" t="s">
        <v>215</v>
      </c>
      <c r="K27" s="229"/>
      <c r="L27" s="230">
        <v>0</v>
      </c>
      <c r="M27" s="192">
        <v>12</v>
      </c>
      <c r="N27" s="193">
        <v>0</v>
      </c>
      <c r="O27" s="192"/>
      <c r="P27" s="193">
        <f t="shared" si="2"/>
        <v>0</v>
      </c>
      <c r="Q27" s="221"/>
      <c r="R27" s="193">
        <f>+L27+N27+P27+Q27</f>
        <v>0</v>
      </c>
      <c r="S27" s="108"/>
      <c r="T27" s="5"/>
      <c r="U27" s="179">
        <f>1+U26</f>
        <v>43484</v>
      </c>
      <c r="V27" s="170">
        <v>0.5</v>
      </c>
      <c r="W27" s="183"/>
      <c r="X27" s="33" t="s">
        <v>154</v>
      </c>
    </row>
    <row r="28" spans="1:24">
      <c r="A28" s="216"/>
      <c r="B28" s="4"/>
      <c r="C28" s="4"/>
      <c r="D28" s="3"/>
      <c r="E28" s="4"/>
      <c r="F28" s="40"/>
      <c r="G28" s="4"/>
      <c r="H28" s="83"/>
      <c r="I28" s="25" t="s">
        <v>0</v>
      </c>
      <c r="J28" s="81" t="s">
        <v>108</v>
      </c>
      <c r="K28" s="228"/>
      <c r="L28" s="227">
        <f>+K28*5</f>
        <v>0</v>
      </c>
      <c r="M28" s="164"/>
      <c r="N28" s="163">
        <f>+M28*5</f>
        <v>0</v>
      </c>
      <c r="O28" s="74"/>
      <c r="P28" s="75">
        <v>0</v>
      </c>
      <c r="Q28" s="217"/>
      <c r="R28" s="9">
        <f t="shared" si="1"/>
        <v>0</v>
      </c>
      <c r="S28" s="107"/>
      <c r="T28" s="5"/>
      <c r="U28" s="184"/>
      <c r="V28" s="170">
        <f>SUM(V23:V27)</f>
        <v>4.5</v>
      </c>
      <c r="W28" s="183" t="s">
        <v>148</v>
      </c>
      <c r="X28" s="175" t="s">
        <v>155</v>
      </c>
    </row>
    <row r="29" spans="1:24">
      <c r="A29" s="215"/>
      <c r="H29" s="214" t="s">
        <v>165</v>
      </c>
      <c r="I29" s="188" t="s">
        <v>45</v>
      </c>
      <c r="J29" s="189" t="s">
        <v>133</v>
      </c>
      <c r="K29" s="231"/>
      <c r="L29" s="56">
        <f>+K29*3</f>
        <v>0</v>
      </c>
      <c r="M29" s="192"/>
      <c r="N29" s="193">
        <f>+M29*3</f>
        <v>0</v>
      </c>
      <c r="O29" s="192"/>
      <c r="P29" s="193">
        <f t="shared" ref="P29:P41" si="3">IF(O29&gt;25,150,(O29)*6)</f>
        <v>0</v>
      </c>
      <c r="Q29" s="221"/>
      <c r="R29" s="196">
        <f t="shared" si="1"/>
        <v>0</v>
      </c>
      <c r="S29" s="197"/>
      <c r="T29" s="5"/>
      <c r="U29" s="184"/>
      <c r="V29" s="171">
        <v>18</v>
      </c>
      <c r="W29" s="185" t="s">
        <v>149</v>
      </c>
      <c r="X29" s="61"/>
    </row>
    <row r="30" spans="1:24" ht="16.5">
      <c r="A30" s="215"/>
      <c r="H30" s="201" t="s">
        <v>50</v>
      </c>
      <c r="I30" s="21" t="s">
        <v>13</v>
      </c>
      <c r="J30" s="20" t="s">
        <v>121</v>
      </c>
      <c r="K30" s="229"/>
      <c r="L30" s="230">
        <f>3*K30</f>
        <v>0</v>
      </c>
      <c r="M30" s="160">
        <v>11</v>
      </c>
      <c r="N30" s="161">
        <v>0</v>
      </c>
      <c r="O30" s="23"/>
      <c r="P30" s="24">
        <f t="shared" si="3"/>
        <v>0</v>
      </c>
      <c r="Q30" s="219">
        <v>10</v>
      </c>
      <c r="R30" s="24">
        <f t="shared" si="1"/>
        <v>10</v>
      </c>
      <c r="S30" s="108"/>
      <c r="T30" s="5"/>
      <c r="U30" s="186" t="s">
        <v>160</v>
      </c>
      <c r="V30" s="172">
        <f>+V29/V28</f>
        <v>4</v>
      </c>
      <c r="W30" s="173" t="s">
        <v>150</v>
      </c>
      <c r="X30" s="61"/>
    </row>
    <row r="31" spans="1:24">
      <c r="A31" s="215"/>
      <c r="H31" s="83"/>
      <c r="I31" s="25" t="s">
        <v>31</v>
      </c>
      <c r="J31" s="81" t="s">
        <v>127</v>
      </c>
      <c r="K31" s="228"/>
      <c r="L31" s="227">
        <v>0</v>
      </c>
      <c r="M31" s="164"/>
      <c r="N31" s="163">
        <v>0</v>
      </c>
      <c r="O31" s="74">
        <v>25</v>
      </c>
      <c r="P31" s="75">
        <f t="shared" si="3"/>
        <v>150</v>
      </c>
      <c r="Q31" s="218"/>
      <c r="R31" s="11">
        <f t="shared" si="1"/>
        <v>150</v>
      </c>
      <c r="S31" s="107"/>
      <c r="T31" s="5"/>
      <c r="U31" s="58"/>
      <c r="V31" s="59"/>
      <c r="W31" s="60"/>
      <c r="X31" s="65"/>
    </row>
    <row r="32" spans="1:24">
      <c r="A32" s="215"/>
      <c r="H32" s="83"/>
      <c r="I32" s="25" t="s">
        <v>30</v>
      </c>
      <c r="J32" s="81" t="s">
        <v>126</v>
      </c>
      <c r="K32" s="228"/>
      <c r="L32" s="227">
        <f>+K32*3</f>
        <v>0</v>
      </c>
      <c r="M32" s="164"/>
      <c r="N32" s="163">
        <f>+M32*3</f>
        <v>0</v>
      </c>
      <c r="O32" s="28">
        <v>44</v>
      </c>
      <c r="P32" s="11">
        <f t="shared" si="3"/>
        <v>150</v>
      </c>
      <c r="Q32" s="218"/>
      <c r="R32" s="11">
        <f t="shared" si="1"/>
        <v>150</v>
      </c>
      <c r="S32" s="107"/>
      <c r="T32" s="5"/>
      <c r="U32" s="58"/>
      <c r="V32" s="66"/>
      <c r="W32" s="67"/>
      <c r="X32" s="66"/>
    </row>
    <row r="33" spans="1:24" s="4" customFormat="1">
      <c r="A33" s="215"/>
      <c r="B33"/>
      <c r="C33"/>
      <c r="D33" s="1"/>
      <c r="E33"/>
      <c r="F33" s="2"/>
      <c r="G33"/>
      <c r="H33" s="201" t="s">
        <v>50</v>
      </c>
      <c r="I33" s="202" t="s">
        <v>186</v>
      </c>
      <c r="J33" s="236" t="s">
        <v>187</v>
      </c>
      <c r="K33" s="229"/>
      <c r="L33" s="230">
        <v>0</v>
      </c>
      <c r="M33" s="192"/>
      <c r="N33" s="193">
        <v>0</v>
      </c>
      <c r="O33" s="192">
        <v>37</v>
      </c>
      <c r="P33" s="193">
        <f t="shared" si="3"/>
        <v>150</v>
      </c>
      <c r="Q33" s="221"/>
      <c r="R33" s="193">
        <f t="shared" si="1"/>
        <v>150</v>
      </c>
      <c r="S33" s="108"/>
      <c r="T33" s="5"/>
      <c r="U33" s="64"/>
      <c r="V33" s="59"/>
      <c r="W33" s="60"/>
      <c r="X33" s="68"/>
    </row>
    <row r="34" spans="1:24">
      <c r="A34" s="215"/>
      <c r="H34" s="83"/>
      <c r="I34" s="25" t="s">
        <v>17</v>
      </c>
      <c r="J34" s="81" t="s">
        <v>123</v>
      </c>
      <c r="K34" s="228"/>
      <c r="L34" s="227">
        <f>+K34*3</f>
        <v>0</v>
      </c>
      <c r="M34" s="164"/>
      <c r="N34" s="163">
        <f>+M34*3</f>
        <v>0</v>
      </c>
      <c r="O34" s="74">
        <v>31</v>
      </c>
      <c r="P34" s="75">
        <f t="shared" si="3"/>
        <v>150</v>
      </c>
      <c r="Q34" s="218"/>
      <c r="R34" s="11">
        <f t="shared" si="1"/>
        <v>150</v>
      </c>
      <c r="S34" s="107"/>
      <c r="T34" s="5"/>
      <c r="U34" s="58"/>
      <c r="V34" s="59"/>
      <c r="W34" s="67"/>
      <c r="X34" s="69"/>
    </row>
    <row r="35" spans="1:24">
      <c r="A35" s="215"/>
      <c r="H35" s="83"/>
      <c r="I35" s="25" t="s">
        <v>60</v>
      </c>
      <c r="J35" s="81" t="s">
        <v>132</v>
      </c>
      <c r="K35" s="228"/>
      <c r="L35" s="227">
        <v>0</v>
      </c>
      <c r="M35" s="164"/>
      <c r="N35" s="163">
        <v>0</v>
      </c>
      <c r="O35" s="74"/>
      <c r="P35" s="75">
        <f t="shared" si="3"/>
        <v>0</v>
      </c>
      <c r="Q35" s="218"/>
      <c r="R35" s="11">
        <f t="shared" si="1"/>
        <v>0</v>
      </c>
      <c r="S35" s="107"/>
      <c r="T35" s="5"/>
      <c r="U35" s="58"/>
      <c r="V35" s="59"/>
      <c r="W35" s="60"/>
      <c r="X35" s="65"/>
    </row>
    <row r="36" spans="1:24">
      <c r="A36" s="215"/>
      <c r="H36" s="142"/>
      <c r="I36" s="25" t="s">
        <v>8</v>
      </c>
      <c r="J36" s="81" t="s">
        <v>120</v>
      </c>
      <c r="K36" s="228"/>
      <c r="L36" s="227">
        <v>0</v>
      </c>
      <c r="M36" s="164"/>
      <c r="N36" s="163">
        <v>0</v>
      </c>
      <c r="O36" s="28">
        <v>28</v>
      </c>
      <c r="P36" s="75">
        <f t="shared" si="3"/>
        <v>150</v>
      </c>
      <c r="Q36" s="218"/>
      <c r="R36" s="57">
        <f t="shared" si="1"/>
        <v>150</v>
      </c>
      <c r="S36" s="107"/>
      <c r="T36" s="5"/>
      <c r="U36" s="58"/>
      <c r="V36" s="59"/>
      <c r="W36" s="60"/>
      <c r="X36" s="61"/>
    </row>
    <row r="37" spans="1:24">
      <c r="A37" s="215"/>
      <c r="H37" s="83"/>
      <c r="I37" s="25" t="s">
        <v>11</v>
      </c>
      <c r="J37" s="96" t="s">
        <v>130</v>
      </c>
      <c r="K37" s="228"/>
      <c r="L37" s="227">
        <f>+K37*3</f>
        <v>0</v>
      </c>
      <c r="M37" s="164"/>
      <c r="N37" s="163">
        <f>+M37*3</f>
        <v>0</v>
      </c>
      <c r="O37" s="74">
        <v>33</v>
      </c>
      <c r="P37" s="75">
        <f t="shared" si="3"/>
        <v>150</v>
      </c>
      <c r="Q37" s="220"/>
      <c r="R37" s="11">
        <f t="shared" si="1"/>
        <v>150</v>
      </c>
      <c r="S37" s="107"/>
      <c r="T37" s="5"/>
      <c r="U37" s="58"/>
      <c r="V37" s="59"/>
      <c r="W37" s="62"/>
      <c r="X37" s="63"/>
    </row>
    <row r="38" spans="1:24">
      <c r="H38" s="83"/>
      <c r="I38" s="25" t="s">
        <v>44</v>
      </c>
      <c r="J38" s="96" t="s">
        <v>124</v>
      </c>
      <c r="K38" s="228"/>
      <c r="L38" s="227">
        <f>+K38*3</f>
        <v>0</v>
      </c>
      <c r="M38" s="164"/>
      <c r="N38" s="163">
        <f>+M38*3</f>
        <v>0</v>
      </c>
      <c r="O38" s="113"/>
      <c r="P38" s="75">
        <f t="shared" si="3"/>
        <v>0</v>
      </c>
      <c r="Q38" s="218"/>
      <c r="R38" s="11">
        <f t="shared" si="1"/>
        <v>0</v>
      </c>
      <c r="S38" s="107"/>
      <c r="T38" s="5"/>
      <c r="U38" s="58"/>
      <c r="V38" s="59"/>
      <c r="W38" s="67"/>
      <c r="X38" s="66"/>
    </row>
    <row r="39" spans="1:24">
      <c r="H39" s="201" t="s">
        <v>50</v>
      </c>
      <c r="I39" s="21" t="s">
        <v>6</v>
      </c>
      <c r="J39" s="20" t="s">
        <v>116</v>
      </c>
      <c r="K39" s="229"/>
      <c r="L39" s="230">
        <f>+K39*3</f>
        <v>0</v>
      </c>
      <c r="M39" s="160"/>
      <c r="N39" s="161">
        <f>+M39*3</f>
        <v>0</v>
      </c>
      <c r="O39" s="23">
        <v>29</v>
      </c>
      <c r="P39" s="24">
        <f t="shared" si="3"/>
        <v>150</v>
      </c>
      <c r="Q39" s="219"/>
      <c r="R39" s="24">
        <f t="shared" si="1"/>
        <v>150</v>
      </c>
      <c r="S39" s="108"/>
      <c r="T39" s="5"/>
      <c r="U39" s="58"/>
      <c r="V39" s="59"/>
      <c r="W39" s="60"/>
      <c r="X39" s="65"/>
    </row>
    <row r="40" spans="1:24">
      <c r="H40" s="95"/>
      <c r="I40" s="25" t="s">
        <v>53</v>
      </c>
      <c r="J40" s="81" t="s">
        <v>135</v>
      </c>
      <c r="K40" s="228"/>
      <c r="L40" s="227">
        <v>0</v>
      </c>
      <c r="M40" s="164"/>
      <c r="N40" s="163">
        <v>0</v>
      </c>
      <c r="O40" s="28">
        <v>26</v>
      </c>
      <c r="P40" s="75">
        <f t="shared" si="3"/>
        <v>150</v>
      </c>
      <c r="Q40" s="218"/>
      <c r="R40" s="11">
        <f t="shared" si="1"/>
        <v>150</v>
      </c>
      <c r="S40" s="107"/>
      <c r="T40" s="5"/>
      <c r="U40" s="58"/>
      <c r="V40" s="59"/>
      <c r="W40" s="60"/>
      <c r="X40" s="65"/>
    </row>
    <row r="41" spans="1:24">
      <c r="H41" s="81"/>
      <c r="I41" s="120" t="s">
        <v>12</v>
      </c>
      <c r="J41" s="150" t="s">
        <v>114</v>
      </c>
      <c r="K41" s="232"/>
      <c r="L41" s="233">
        <v>0</v>
      </c>
      <c r="M41" s="165">
        <v>10</v>
      </c>
      <c r="N41" s="166">
        <v>0</v>
      </c>
      <c r="O41" s="122"/>
      <c r="P41" s="147">
        <f t="shared" si="3"/>
        <v>0</v>
      </c>
      <c r="Q41" s="222"/>
      <c r="R41" s="124">
        <f t="shared" si="1"/>
        <v>0</v>
      </c>
      <c r="S41" s="148"/>
      <c r="T41" s="5"/>
      <c r="U41" s="58"/>
      <c r="V41" s="59"/>
      <c r="W41" s="60"/>
      <c r="X41" s="61"/>
    </row>
    <row r="42" spans="1:24">
      <c r="I42" s="13"/>
      <c r="J42" s="14"/>
      <c r="K42" s="234">
        <f t="shared" ref="K42:S42" si="4">SUM(K5:K41)</f>
        <v>0</v>
      </c>
      <c r="L42" s="235">
        <f t="shared" si="4"/>
        <v>0</v>
      </c>
      <c r="M42" s="167">
        <f t="shared" si="4"/>
        <v>85</v>
      </c>
      <c r="N42" s="168">
        <f t="shared" si="4"/>
        <v>0</v>
      </c>
      <c r="O42" s="77">
        <f t="shared" si="4"/>
        <v>688</v>
      </c>
      <c r="P42" s="78">
        <f t="shared" si="4"/>
        <v>3012</v>
      </c>
      <c r="Q42" s="223">
        <f t="shared" si="4"/>
        <v>20</v>
      </c>
      <c r="R42" s="78">
        <f t="shared" si="4"/>
        <v>3032</v>
      </c>
      <c r="S42" s="102">
        <f t="shared" si="4"/>
        <v>0</v>
      </c>
      <c r="T42" s="5"/>
      <c r="U42" s="58"/>
      <c r="V42" s="59"/>
      <c r="W42" s="60"/>
      <c r="X42" s="61"/>
    </row>
    <row r="43" spans="1:24">
      <c r="J43" s="200">
        <f ca="1">TODAY()</f>
        <v>43825</v>
      </c>
      <c r="K43" s="41"/>
      <c r="M43" s="42"/>
      <c r="N43" s="41"/>
      <c r="O43" s="45" t="s">
        <v>81</v>
      </c>
      <c r="Q43" s="42"/>
      <c r="R43" s="45">
        <f>+R39+R23+R30+R29+R33+R22+R27</f>
        <v>610</v>
      </c>
      <c r="T43" s="5"/>
      <c r="U43" s="58"/>
      <c r="V43" s="59"/>
      <c r="W43" s="60"/>
      <c r="X43" s="65"/>
    </row>
    <row r="44" spans="1:24">
      <c r="L44" s="43"/>
      <c r="M44" s="44"/>
      <c r="N44" s="125"/>
      <c r="O44" s="43" t="s">
        <v>91</v>
      </c>
      <c r="P44" s="114"/>
      <c r="Q44" s="110" t="s">
        <v>58</v>
      </c>
      <c r="R44" s="111">
        <f>+R42-R43</f>
        <v>2422</v>
      </c>
      <c r="S44" s="109"/>
      <c r="T44" s="5"/>
      <c r="U44" s="58"/>
      <c r="V44" s="59"/>
      <c r="W44" s="62"/>
      <c r="X44" s="60"/>
    </row>
    <row r="45" spans="1:24" ht="3.95" customHeight="1">
      <c r="P45" s="19"/>
      <c r="U45" s="58"/>
      <c r="V45" s="59"/>
      <c r="W45" s="62"/>
      <c r="X45" s="60"/>
    </row>
    <row r="46" spans="1:24">
      <c r="I46" s="224" t="s">
        <v>199</v>
      </c>
      <c r="P46" s="19"/>
      <c r="U46" s="64"/>
      <c r="V46" s="59"/>
      <c r="W46" s="60"/>
      <c r="X46" s="68"/>
    </row>
    <row r="47" spans="1:24">
      <c r="I47" s="224" t="s">
        <v>200</v>
      </c>
      <c r="P47" s="19"/>
      <c r="U47" s="58"/>
      <c r="V47" s="66"/>
      <c r="W47" s="67"/>
      <c r="X47" s="69"/>
    </row>
    <row r="48" spans="1:24">
      <c r="I48" s="224" t="s">
        <v>201</v>
      </c>
      <c r="P48" s="19"/>
      <c r="U48" s="60"/>
      <c r="V48" s="59"/>
      <c r="W48" s="60"/>
      <c r="X48" s="60"/>
    </row>
    <row r="49" spans="9:24">
      <c r="I49" s="224" t="s">
        <v>202</v>
      </c>
      <c r="P49" s="19"/>
      <c r="U49" s="60"/>
      <c r="V49" s="59"/>
      <c r="W49" s="60"/>
      <c r="X49" s="60"/>
    </row>
    <row r="50" spans="9:24">
      <c r="I50" s="224" t="s">
        <v>203</v>
      </c>
      <c r="P50" s="19"/>
      <c r="U50" s="60"/>
      <c r="V50" s="59"/>
      <c r="W50" s="60"/>
      <c r="X50" s="60"/>
    </row>
    <row r="51" spans="9:24">
      <c r="I51" s="224" t="s">
        <v>204</v>
      </c>
      <c r="U51" s="60"/>
      <c r="V51" s="59"/>
      <c r="W51" s="60"/>
      <c r="X51" s="60"/>
    </row>
    <row r="52" spans="9:24">
      <c r="I52" s="224" t="s">
        <v>205</v>
      </c>
      <c r="P52" s="19"/>
      <c r="U52" s="60"/>
      <c r="V52" s="59"/>
      <c r="W52" s="60"/>
      <c r="X52" s="60"/>
    </row>
    <row r="53" spans="9:24" ht="3.95" customHeight="1">
      <c r="I53" s="224" t="s">
        <v>206</v>
      </c>
      <c r="P53" s="19"/>
      <c r="U53" s="60"/>
      <c r="V53" s="59"/>
      <c r="W53" s="60"/>
      <c r="X53" s="60"/>
    </row>
    <row r="54" spans="9:24">
      <c r="P54" s="19"/>
      <c r="U54" s="60"/>
      <c r="V54" s="59"/>
      <c r="W54" s="60"/>
      <c r="X54" s="60"/>
    </row>
    <row r="55" spans="9:24">
      <c r="U55" s="60"/>
      <c r="V55" s="59"/>
      <c r="W55" s="60"/>
      <c r="X55" s="60"/>
    </row>
  </sheetData>
  <mergeCells count="4">
    <mergeCell ref="I2:R2"/>
    <mergeCell ref="K3:N3"/>
    <mergeCell ref="O3:P3"/>
    <mergeCell ref="T3:V3"/>
  </mergeCells>
  <conditionalFormatting sqref="R5">
    <cfRule type="cellIs" dxfId="34" priority="3" operator="lessThanOrEqual">
      <formula>0</formula>
    </cfRule>
  </conditionalFormatting>
  <conditionalFormatting sqref="R40:R41 R5:R38">
    <cfRule type="cellIs" dxfId="33" priority="2" operator="greaterThan">
      <formula>0</formula>
    </cfRule>
  </conditionalFormatting>
  <conditionalFormatting sqref="R39">
    <cfRule type="cellIs" dxfId="32" priority="1" operator="greaterThan">
      <formula>0</formula>
    </cfRule>
  </conditionalFormatting>
  <printOptions horizontalCentered="1"/>
  <pageMargins left="0" right="0" top="0.83" bottom="0" header="0" footer="0"/>
  <pageSetup paperSize="9" scale="93" orientation="portrait" r:id="rId1"/>
  <ignoredErrors>
    <ignoredError sqref="L18:O24" formula="1"/>
  </ignoredErrors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55"/>
  <sheetViews>
    <sheetView zoomScale="85" zoomScaleNormal="85" workbookViewId="0">
      <pane xSplit="10" ySplit="4" topLeftCell="K44" activePane="bottomRight" state="frozen"/>
      <selection pane="topRight" activeCell="K1" sqref="K1"/>
      <selection pane="bottomLeft" activeCell="A5" sqref="A5"/>
      <selection pane="bottomRight" activeCell="K44" sqref="K44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5.42578125" customWidth="1"/>
    <col min="9" max="9" width="7.7109375" customWidth="1"/>
    <col min="10" max="10" width="23" customWidth="1"/>
    <col min="11" max="11" width="4.7109375" customWidth="1"/>
    <col min="12" max="12" width="5.7109375" customWidth="1"/>
    <col min="13" max="13" width="6.140625" customWidth="1"/>
    <col min="14" max="14" width="11.28515625" customWidth="1"/>
    <col min="15" max="15" width="6.140625" customWidth="1"/>
    <col min="16" max="16" width="11.42578125" customWidth="1"/>
    <col min="17" max="17" width="6.7109375" customWidth="1"/>
    <col min="18" max="18" width="13.85546875" customWidth="1"/>
    <col min="19" max="19" width="5.7109375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4" ht="5.0999999999999996" customHeight="1"/>
    <row r="2" spans="8:24">
      <c r="H2" s="83"/>
      <c r="I2" s="439" t="s">
        <v>207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4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4" ht="42.75" customHeight="1">
      <c r="H4" s="83" t="s">
        <v>143</v>
      </c>
      <c r="I4" s="86" t="s">
        <v>7</v>
      </c>
      <c r="J4" s="86" t="s">
        <v>3</v>
      </c>
      <c r="K4" s="225" t="s">
        <v>15</v>
      </c>
      <c r="L4" s="225" t="s">
        <v>208</v>
      </c>
      <c r="M4" s="198" t="s">
        <v>15</v>
      </c>
      <c r="N4" s="198" t="s">
        <v>208</v>
      </c>
      <c r="O4" s="87" t="s">
        <v>15</v>
      </c>
      <c r="P4" s="87" t="s">
        <v>209</v>
      </c>
      <c r="Q4" s="99" t="s">
        <v>210</v>
      </c>
      <c r="R4" s="88" t="s">
        <v>103</v>
      </c>
      <c r="S4" s="139" t="s">
        <v>104</v>
      </c>
      <c r="T4" s="89"/>
      <c r="U4" s="83"/>
      <c r="V4" s="83"/>
    </row>
    <row r="5" spans="8:24">
      <c r="H5" s="83"/>
      <c r="I5" s="126" t="s">
        <v>5</v>
      </c>
      <c r="J5" s="80" t="s">
        <v>117</v>
      </c>
      <c r="K5" s="226"/>
      <c r="L5" s="227">
        <f>+K5*3</f>
        <v>0</v>
      </c>
      <c r="M5" s="162"/>
      <c r="N5" s="163">
        <f>+M5*3</f>
        <v>0</v>
      </c>
      <c r="O5" s="76">
        <v>1</v>
      </c>
      <c r="P5" s="75">
        <f t="shared" ref="P5:P14" si="0">IF(O5&gt;25,150,(O5)*6)</f>
        <v>6</v>
      </c>
      <c r="Q5" s="217"/>
      <c r="R5" s="11">
        <f t="shared" ref="R5:R41" si="1">+L5+N5+P5+Q5</f>
        <v>6</v>
      </c>
      <c r="S5" s="106"/>
      <c r="T5" s="5"/>
      <c r="U5" s="92">
        <v>828</v>
      </c>
      <c r="V5" s="93">
        <v>107.64</v>
      </c>
      <c r="W5" s="94">
        <v>720.36</v>
      </c>
      <c r="X5" s="70" t="s">
        <v>36</v>
      </c>
    </row>
    <row r="6" spans="8:24">
      <c r="H6" s="83"/>
      <c r="I6" s="126" t="s">
        <v>82</v>
      </c>
      <c r="J6" s="80" t="s">
        <v>141</v>
      </c>
      <c r="K6" s="226"/>
      <c r="L6" s="227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0">
        <f>+V6+W6</f>
        <v>827.58620689655174</v>
      </c>
      <c r="V6" s="71">
        <f>+V5*W6/W5</f>
        <v>107.58620689655173</v>
      </c>
      <c r="W6" s="31">
        <v>720</v>
      </c>
      <c r="X6" s="36"/>
    </row>
    <row r="7" spans="8:24">
      <c r="H7" s="83"/>
      <c r="I7" s="126" t="s">
        <v>64</v>
      </c>
      <c r="J7" s="80" t="s">
        <v>138</v>
      </c>
      <c r="K7" s="226"/>
      <c r="L7" s="227">
        <f>+K7*3</f>
        <v>0</v>
      </c>
      <c r="M7" s="162"/>
      <c r="N7" s="163">
        <f>+M7*3</f>
        <v>0</v>
      </c>
      <c r="O7" s="76">
        <v>29</v>
      </c>
      <c r="P7" s="75">
        <f t="shared" si="0"/>
        <v>150</v>
      </c>
      <c r="Q7" s="217"/>
      <c r="R7" s="11">
        <f t="shared" si="1"/>
        <v>150</v>
      </c>
      <c r="S7" s="106"/>
      <c r="T7" s="5"/>
      <c r="U7" s="32">
        <f>+U5-U6</f>
        <v>0.41379310344825626</v>
      </c>
      <c r="V7" s="47"/>
      <c r="W7" s="33"/>
      <c r="X7" s="4" t="s">
        <v>59</v>
      </c>
    </row>
    <row r="8" spans="8:24">
      <c r="H8" s="83"/>
      <c r="I8" s="25" t="s">
        <v>2</v>
      </c>
      <c r="J8" s="81" t="s">
        <v>107</v>
      </c>
      <c r="K8" s="228"/>
      <c r="L8" s="227">
        <f>+K8*3</f>
        <v>0</v>
      </c>
      <c r="M8" s="164"/>
      <c r="N8" s="163">
        <f>+M8*3</f>
        <v>0</v>
      </c>
      <c r="O8" s="74">
        <v>35</v>
      </c>
      <c r="P8" s="75">
        <f t="shared" si="0"/>
        <v>150</v>
      </c>
      <c r="Q8" s="217"/>
      <c r="R8" s="11">
        <f t="shared" si="1"/>
        <v>150</v>
      </c>
      <c r="S8" s="138"/>
      <c r="T8" s="5"/>
      <c r="U8" s="34">
        <v>150</v>
      </c>
      <c r="V8" s="38">
        <f>+U8-U7</f>
        <v>149.58620689655174</v>
      </c>
      <c r="W8" s="39" t="s">
        <v>63</v>
      </c>
      <c r="X8" s="6">
        <f>150-V8</f>
        <v>0.41379310344825626</v>
      </c>
    </row>
    <row r="9" spans="8:24">
      <c r="H9" s="95"/>
      <c r="I9" s="25" t="s">
        <v>42</v>
      </c>
      <c r="J9" s="81" t="s">
        <v>119</v>
      </c>
      <c r="K9" s="228"/>
      <c r="L9" s="227">
        <f>+K9*3</f>
        <v>0</v>
      </c>
      <c r="M9" s="164"/>
      <c r="N9" s="163">
        <f>+M9*3</f>
        <v>0</v>
      </c>
      <c r="O9" s="28">
        <v>25</v>
      </c>
      <c r="P9" s="75">
        <f t="shared" si="0"/>
        <v>150</v>
      </c>
      <c r="Q9" s="218"/>
      <c r="R9" s="11">
        <f t="shared" si="1"/>
        <v>150</v>
      </c>
      <c r="S9" s="107"/>
      <c r="T9" s="5"/>
      <c r="U9" s="10"/>
      <c r="X9" s="37"/>
    </row>
    <row r="10" spans="8:24" ht="15" customHeight="1">
      <c r="H10" s="83"/>
      <c r="I10" s="25" t="s">
        <v>1</v>
      </c>
      <c r="J10" s="81" t="s">
        <v>106</v>
      </c>
      <c r="K10" s="228"/>
      <c r="L10" s="227">
        <f>3*K10</f>
        <v>0</v>
      </c>
      <c r="M10" s="164"/>
      <c r="N10" s="163">
        <f>3*M10</f>
        <v>0</v>
      </c>
      <c r="O10" s="74"/>
      <c r="P10" s="75">
        <f t="shared" si="0"/>
        <v>0</v>
      </c>
      <c r="Q10" s="217"/>
      <c r="R10" s="9">
        <f t="shared" si="1"/>
        <v>0</v>
      </c>
      <c r="S10" s="107"/>
      <c r="T10" s="5"/>
      <c r="U10" s="92">
        <v>856</v>
      </c>
      <c r="V10" s="93">
        <v>110.51</v>
      </c>
      <c r="W10" s="94">
        <v>745.49</v>
      </c>
      <c r="X10" s="70" t="s">
        <v>35</v>
      </c>
    </row>
    <row r="11" spans="8:24">
      <c r="H11" s="141"/>
      <c r="I11" s="126" t="s">
        <v>56</v>
      </c>
      <c r="J11" s="80" t="s">
        <v>136</v>
      </c>
      <c r="K11" s="226"/>
      <c r="L11" s="227">
        <v>0</v>
      </c>
      <c r="M11" s="162"/>
      <c r="N11" s="163">
        <v>0</v>
      </c>
      <c r="O11" s="74">
        <v>21</v>
      </c>
      <c r="P11" s="75">
        <f t="shared" si="0"/>
        <v>126</v>
      </c>
      <c r="Q11" s="217"/>
      <c r="R11" s="9">
        <f t="shared" si="1"/>
        <v>126</v>
      </c>
      <c r="S11" s="107"/>
      <c r="T11" s="5"/>
      <c r="U11" s="30">
        <f>+V11+W11</f>
        <v>826.7314115548163</v>
      </c>
      <c r="V11" s="71">
        <f>+V10*W11/W10</f>
        <v>106.73141155481629</v>
      </c>
      <c r="W11" s="31">
        <v>720</v>
      </c>
      <c r="X11" s="37"/>
    </row>
    <row r="12" spans="8:24">
      <c r="H12" s="95"/>
      <c r="I12" s="25" t="s">
        <v>16</v>
      </c>
      <c r="J12" s="81" t="s">
        <v>113</v>
      </c>
      <c r="K12" s="228"/>
      <c r="L12" s="227">
        <v>0</v>
      </c>
      <c r="M12" s="164"/>
      <c r="N12" s="163">
        <v>0</v>
      </c>
      <c r="O12" s="28">
        <v>21</v>
      </c>
      <c r="P12" s="75">
        <f t="shared" si="0"/>
        <v>126</v>
      </c>
      <c r="Q12" s="218"/>
      <c r="R12" s="9">
        <f t="shared" si="1"/>
        <v>126</v>
      </c>
      <c r="S12" s="106"/>
      <c r="T12" s="5"/>
      <c r="U12" s="32">
        <f>+U10-U11</f>
        <v>29.268588445183696</v>
      </c>
      <c r="V12" s="47"/>
      <c r="W12" s="33"/>
      <c r="X12" s="4" t="s">
        <v>59</v>
      </c>
    </row>
    <row r="13" spans="8:24">
      <c r="H13" s="83"/>
      <c r="I13" s="25" t="s">
        <v>92</v>
      </c>
      <c r="J13" s="81" t="s">
        <v>109</v>
      </c>
      <c r="K13" s="228"/>
      <c r="L13" s="227">
        <v>0</v>
      </c>
      <c r="M13" s="164"/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120.7314115548163</v>
      </c>
      <c r="W13" s="39" t="s">
        <v>63</v>
      </c>
      <c r="X13" s="6">
        <f>150-V13</f>
        <v>29.268588445183696</v>
      </c>
    </row>
    <row r="14" spans="8:24">
      <c r="H14" s="95"/>
      <c r="I14" s="25" t="s">
        <v>20</v>
      </c>
      <c r="J14" s="81" t="s">
        <v>195</v>
      </c>
      <c r="K14" s="228"/>
      <c r="L14" s="227">
        <f>+K14*3</f>
        <v>0</v>
      </c>
      <c r="M14" s="164"/>
      <c r="N14" s="163">
        <f>+M14*3</f>
        <v>0</v>
      </c>
      <c r="O14" s="28">
        <v>29</v>
      </c>
      <c r="P14" s="75">
        <f t="shared" si="0"/>
        <v>150</v>
      </c>
      <c r="Q14" s="218"/>
      <c r="R14" s="9">
        <f t="shared" si="1"/>
        <v>150</v>
      </c>
      <c r="S14" s="107"/>
      <c r="T14" s="5"/>
      <c r="U14" s="10"/>
      <c r="X14" s="37"/>
    </row>
    <row r="15" spans="8:24">
      <c r="H15" s="95"/>
      <c r="I15" s="25" t="s">
        <v>69</v>
      </c>
      <c r="J15" s="81" t="s">
        <v>196</v>
      </c>
      <c r="K15" s="228"/>
      <c r="L15" s="227">
        <v>0</v>
      </c>
      <c r="M15" s="164"/>
      <c r="N15" s="163">
        <v>0</v>
      </c>
      <c r="O15" s="28"/>
      <c r="P15" s="75"/>
      <c r="Q15" s="218"/>
      <c r="R15" s="11">
        <f t="shared" si="1"/>
        <v>0</v>
      </c>
      <c r="S15" s="107"/>
      <c r="T15" s="5"/>
      <c r="U15" s="92">
        <f>644+150</f>
        <v>794</v>
      </c>
      <c r="V15" s="93">
        <v>0</v>
      </c>
      <c r="W15" s="101">
        <v>769.08</v>
      </c>
      <c r="X15" s="100" t="s">
        <v>21</v>
      </c>
    </row>
    <row r="16" spans="8:24">
      <c r="H16" s="95"/>
      <c r="I16" s="25" t="s">
        <v>25</v>
      </c>
      <c r="J16" s="81" t="s">
        <v>118</v>
      </c>
      <c r="K16" s="228"/>
      <c r="L16" s="227">
        <f>+K16*3</f>
        <v>0</v>
      </c>
      <c r="M16" s="164"/>
      <c r="N16" s="163">
        <f>+M16*3</f>
        <v>0</v>
      </c>
      <c r="O16" s="28">
        <v>20</v>
      </c>
      <c r="P16" s="75">
        <f t="shared" ref="P16:P26" si="2">IF(O16&gt;25,150,(O16)*6)</f>
        <v>120</v>
      </c>
      <c r="Q16" s="218"/>
      <c r="R16" s="11">
        <f t="shared" si="1"/>
        <v>120</v>
      </c>
      <c r="S16" s="107"/>
      <c r="T16" s="5"/>
      <c r="U16" s="30">
        <f>+V16+W16</f>
        <v>720</v>
      </c>
      <c r="V16" s="71">
        <f>+V15*W16/W15</f>
        <v>0</v>
      </c>
      <c r="W16" s="31">
        <v>720</v>
      </c>
      <c r="X16" s="37"/>
    </row>
    <row r="17" spans="1:24">
      <c r="H17" s="95"/>
      <c r="I17" s="25" t="s">
        <v>41</v>
      </c>
      <c r="J17" s="81" t="s">
        <v>112</v>
      </c>
      <c r="K17" s="228"/>
      <c r="L17" s="227">
        <f>+K17*3</f>
        <v>0</v>
      </c>
      <c r="M17" s="164"/>
      <c r="N17" s="163">
        <f>+M17*3</f>
        <v>0</v>
      </c>
      <c r="O17" s="28">
        <v>2</v>
      </c>
      <c r="P17" s="75">
        <f t="shared" si="2"/>
        <v>12</v>
      </c>
      <c r="Q17" s="218"/>
      <c r="R17" s="11">
        <f t="shared" si="1"/>
        <v>12</v>
      </c>
      <c r="S17" s="107"/>
      <c r="T17" s="5"/>
      <c r="U17" s="32">
        <f>+U15-U16</f>
        <v>74</v>
      </c>
      <c r="V17" s="47"/>
      <c r="W17" s="33"/>
      <c r="X17" s="4" t="s">
        <v>59</v>
      </c>
    </row>
    <row r="18" spans="1:24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162"/>
      <c r="N18" s="163">
        <f>5*M18</f>
        <v>0</v>
      </c>
      <c r="O18" s="76">
        <v>28</v>
      </c>
      <c r="P18" s="75">
        <f t="shared" si="2"/>
        <v>150</v>
      </c>
      <c r="Q18" s="217"/>
      <c r="R18" s="11">
        <f t="shared" si="1"/>
        <v>150</v>
      </c>
      <c r="S18" s="106"/>
      <c r="T18" s="5"/>
      <c r="U18" s="34">
        <v>150</v>
      </c>
      <c r="V18" s="38">
        <f>+U18-U17</f>
        <v>76</v>
      </c>
      <c r="W18" s="39" t="s">
        <v>63</v>
      </c>
      <c r="X18" s="6">
        <f>150-V18</f>
        <v>74</v>
      </c>
    </row>
    <row r="19" spans="1:24">
      <c r="A19" s="215"/>
      <c r="H19" s="141"/>
      <c r="I19" s="25" t="s">
        <v>28</v>
      </c>
      <c r="J19" s="81" t="s">
        <v>122</v>
      </c>
      <c r="K19" s="228"/>
      <c r="L19" s="227">
        <f>+K19*3</f>
        <v>0</v>
      </c>
      <c r="M19" s="164"/>
      <c r="N19" s="163">
        <f>+M19*3</f>
        <v>0</v>
      </c>
      <c r="O19" s="74">
        <v>34</v>
      </c>
      <c r="P19" s="75">
        <f t="shared" si="2"/>
        <v>150</v>
      </c>
      <c r="Q19" s="217"/>
      <c r="R19" s="9">
        <f t="shared" si="1"/>
        <v>150</v>
      </c>
      <c r="S19" s="107"/>
      <c r="T19" s="5"/>
      <c r="U19" s="10"/>
      <c r="X19" s="37"/>
    </row>
    <row r="20" spans="1:24">
      <c r="A20" s="215"/>
      <c r="H20" s="141"/>
      <c r="I20" s="25" t="s">
        <v>10</v>
      </c>
      <c r="J20" s="81" t="s">
        <v>191</v>
      </c>
      <c r="K20" s="228"/>
      <c r="L20" s="227">
        <f>3*K20</f>
        <v>0</v>
      </c>
      <c r="M20" s="164"/>
      <c r="N20" s="163">
        <f>5*M20</f>
        <v>0</v>
      </c>
      <c r="O20" s="74"/>
      <c r="P20" s="75">
        <f t="shared" si="2"/>
        <v>0</v>
      </c>
      <c r="Q20" s="217"/>
      <c r="R20" s="9">
        <f t="shared" si="1"/>
        <v>0</v>
      </c>
      <c r="S20" s="107"/>
      <c r="T20" s="5"/>
      <c r="U20" s="58"/>
      <c r="V20" s="59"/>
      <c r="W20" s="60"/>
      <c r="X20" s="61"/>
    </row>
    <row r="21" spans="1:24">
      <c r="A21" s="215"/>
      <c r="H21" s="142"/>
      <c r="I21" s="25" t="s">
        <v>4</v>
      </c>
      <c r="J21" s="81" t="s">
        <v>111</v>
      </c>
      <c r="K21" s="228"/>
      <c r="L21" s="227">
        <v>0</v>
      </c>
      <c r="M21" s="164"/>
      <c r="N21" s="163">
        <v>0</v>
      </c>
      <c r="O21" s="28">
        <v>28</v>
      </c>
      <c r="P21" s="75">
        <f t="shared" si="2"/>
        <v>150</v>
      </c>
      <c r="Q21" s="218"/>
      <c r="R21" s="11">
        <f t="shared" si="1"/>
        <v>150</v>
      </c>
      <c r="S21" s="107"/>
      <c r="T21" s="5"/>
      <c r="U21" s="103" t="s">
        <v>161</v>
      </c>
    </row>
    <row r="22" spans="1:24">
      <c r="A22" s="215"/>
      <c r="H22" s="83"/>
      <c r="I22" s="25" t="s">
        <v>9</v>
      </c>
      <c r="J22" s="96" t="s">
        <v>128</v>
      </c>
      <c r="K22" s="228"/>
      <c r="L22" s="227">
        <v>0</v>
      </c>
      <c r="M22" s="164"/>
      <c r="N22" s="163">
        <v>0</v>
      </c>
      <c r="O22" s="74">
        <v>24</v>
      </c>
      <c r="P22" s="75">
        <f t="shared" si="2"/>
        <v>144</v>
      </c>
      <c r="Q22" s="220"/>
      <c r="R22" s="11">
        <f t="shared" si="1"/>
        <v>144</v>
      </c>
      <c r="S22" s="107"/>
      <c r="T22" s="5"/>
      <c r="U22" s="176" t="s">
        <v>158</v>
      </c>
      <c r="V22" s="177" t="s">
        <v>159</v>
      </c>
      <c r="W22" s="178"/>
      <c r="X22" s="174" t="s">
        <v>157</v>
      </c>
    </row>
    <row r="23" spans="1:24">
      <c r="A23" s="215"/>
      <c r="H23" s="214" t="s">
        <v>169</v>
      </c>
      <c r="I23" s="188" t="s">
        <v>51</v>
      </c>
      <c r="J23" s="189" t="s">
        <v>134</v>
      </c>
      <c r="K23" s="231"/>
      <c r="L23" s="56">
        <f>+K23*3</f>
        <v>0</v>
      </c>
      <c r="M23" s="192"/>
      <c r="N23" s="193">
        <f>+M23*3</f>
        <v>0</v>
      </c>
      <c r="O23" s="192">
        <v>30</v>
      </c>
      <c r="P23" s="193">
        <f t="shared" si="2"/>
        <v>150</v>
      </c>
      <c r="Q23" s="221"/>
      <c r="R23" s="196">
        <f t="shared" si="1"/>
        <v>150</v>
      </c>
      <c r="S23" s="197"/>
      <c r="T23" s="5"/>
      <c r="U23" s="179">
        <v>43480</v>
      </c>
      <c r="V23" s="170">
        <v>1</v>
      </c>
      <c r="W23" s="180"/>
      <c r="X23" s="33" t="s">
        <v>156</v>
      </c>
    </row>
    <row r="24" spans="1:24">
      <c r="A24" s="215"/>
      <c r="H24" s="83"/>
      <c r="I24" s="126" t="s">
        <v>61</v>
      </c>
      <c r="J24" s="80" t="s">
        <v>137</v>
      </c>
      <c r="K24" s="226"/>
      <c r="L24" s="227">
        <f>3*K24</f>
        <v>0</v>
      </c>
      <c r="M24" s="162"/>
      <c r="N24" s="163">
        <f>3*M24</f>
        <v>0</v>
      </c>
      <c r="O24" s="72"/>
      <c r="P24" s="75">
        <f t="shared" si="2"/>
        <v>0</v>
      </c>
      <c r="Q24" s="217"/>
      <c r="R24" s="11">
        <f t="shared" si="1"/>
        <v>0</v>
      </c>
      <c r="S24" s="106"/>
      <c r="T24" s="5"/>
      <c r="U24" s="179">
        <f>1+U23</f>
        <v>43481</v>
      </c>
      <c r="V24" s="170">
        <v>1</v>
      </c>
      <c r="W24" s="181"/>
      <c r="X24" s="33" t="s">
        <v>151</v>
      </c>
    </row>
    <row r="25" spans="1:24">
      <c r="A25" s="215"/>
      <c r="H25" s="83"/>
      <c r="I25" s="25" t="s">
        <v>14</v>
      </c>
      <c r="J25" s="96" t="s">
        <v>125</v>
      </c>
      <c r="K25" s="228"/>
      <c r="L25" s="227">
        <f>+K25*3</f>
        <v>0</v>
      </c>
      <c r="M25" s="164"/>
      <c r="N25" s="163">
        <f>+M25*3</f>
        <v>0</v>
      </c>
      <c r="O25" s="74"/>
      <c r="P25" s="75">
        <f t="shared" si="2"/>
        <v>0</v>
      </c>
      <c r="Q25" s="218"/>
      <c r="R25" s="11">
        <f t="shared" si="1"/>
        <v>0</v>
      </c>
      <c r="S25" s="107"/>
      <c r="T25" s="5"/>
      <c r="U25" s="179">
        <f>1+U24</f>
        <v>43482</v>
      </c>
      <c r="V25" s="170">
        <v>1</v>
      </c>
      <c r="W25" s="182"/>
      <c r="X25" s="33" t="s">
        <v>152</v>
      </c>
    </row>
    <row r="26" spans="1:24">
      <c r="A26" s="215"/>
      <c r="H26" s="83"/>
      <c r="I26" s="126" t="s">
        <v>79</v>
      </c>
      <c r="J26" s="82" t="s">
        <v>110</v>
      </c>
      <c r="K26" s="228"/>
      <c r="L26" s="227">
        <v>0</v>
      </c>
      <c r="M26" s="164"/>
      <c r="N26" s="163">
        <f>3*M26</f>
        <v>0</v>
      </c>
      <c r="O26" s="76">
        <v>24</v>
      </c>
      <c r="P26" s="75">
        <f t="shared" si="2"/>
        <v>144</v>
      </c>
      <c r="Q26" s="217"/>
      <c r="R26" s="11">
        <f t="shared" si="1"/>
        <v>144</v>
      </c>
      <c r="S26" s="106"/>
      <c r="T26" s="5"/>
      <c r="U26" s="179">
        <f>1+U25</f>
        <v>43483</v>
      </c>
      <c r="V26" s="170">
        <v>1</v>
      </c>
      <c r="W26" s="181"/>
      <c r="X26" s="33" t="s">
        <v>153</v>
      </c>
    </row>
    <row r="27" spans="1:24">
      <c r="A27" s="216"/>
      <c r="B27" s="4"/>
      <c r="C27" s="4"/>
      <c r="D27" s="3"/>
      <c r="E27" s="4"/>
      <c r="F27" s="40"/>
      <c r="G27" s="4"/>
      <c r="H27" s="83"/>
      <c r="I27" s="25" t="s">
        <v>0</v>
      </c>
      <c r="J27" s="81" t="s">
        <v>108</v>
      </c>
      <c r="K27" s="228"/>
      <c r="L27" s="227">
        <f>+K27*5</f>
        <v>0</v>
      </c>
      <c r="M27" s="164"/>
      <c r="N27" s="163">
        <f>+M27*5</f>
        <v>0</v>
      </c>
      <c r="O27" s="74"/>
      <c r="P27" s="75">
        <v>0</v>
      </c>
      <c r="Q27" s="217"/>
      <c r="R27" s="9">
        <f t="shared" si="1"/>
        <v>0</v>
      </c>
      <c r="S27" s="107"/>
      <c r="T27" s="5"/>
      <c r="U27" s="179">
        <f>1+U26</f>
        <v>43484</v>
      </c>
      <c r="V27" s="170">
        <v>0.5</v>
      </c>
      <c r="W27" s="183"/>
      <c r="X27" s="33" t="s">
        <v>154</v>
      </c>
    </row>
    <row r="28" spans="1:24">
      <c r="A28" s="215"/>
      <c r="H28" s="214" t="s">
        <v>169</v>
      </c>
      <c r="I28" s="188" t="s">
        <v>45</v>
      </c>
      <c r="J28" s="189" t="s">
        <v>133</v>
      </c>
      <c r="K28" s="231"/>
      <c r="L28" s="56">
        <f>+K28*3</f>
        <v>0</v>
      </c>
      <c r="M28" s="192"/>
      <c r="N28" s="193">
        <f>+M28*3</f>
        <v>0</v>
      </c>
      <c r="O28" s="192">
        <v>1</v>
      </c>
      <c r="P28" s="193">
        <f t="shared" ref="P28:P41" si="3">IF(O28&gt;25,150,(O28)*6)</f>
        <v>6</v>
      </c>
      <c r="Q28" s="221"/>
      <c r="R28" s="196">
        <f t="shared" si="1"/>
        <v>6</v>
      </c>
      <c r="S28" s="197"/>
      <c r="T28" s="5"/>
      <c r="U28" s="184"/>
      <c r="V28" s="170">
        <f>SUM(V23:V27)</f>
        <v>4.5</v>
      </c>
      <c r="W28" s="183" t="s">
        <v>148</v>
      </c>
      <c r="X28" s="175" t="s">
        <v>155</v>
      </c>
    </row>
    <row r="29" spans="1:24">
      <c r="A29" s="215"/>
      <c r="H29" s="201" t="s">
        <v>50</v>
      </c>
      <c r="I29" s="21" t="s">
        <v>13</v>
      </c>
      <c r="J29" s="20" t="s">
        <v>121</v>
      </c>
      <c r="K29" s="229"/>
      <c r="L29" s="230">
        <f>3*K29</f>
        <v>0</v>
      </c>
      <c r="M29" s="160"/>
      <c r="N29" s="161">
        <f>3*M29</f>
        <v>0</v>
      </c>
      <c r="O29" s="23"/>
      <c r="P29" s="24">
        <f t="shared" si="3"/>
        <v>0</v>
      </c>
      <c r="Q29" s="219"/>
      <c r="R29" s="24">
        <f t="shared" si="1"/>
        <v>0</v>
      </c>
      <c r="S29" s="108"/>
      <c r="T29" s="5"/>
      <c r="U29" s="184"/>
      <c r="V29" s="171">
        <v>18</v>
      </c>
      <c r="W29" s="185" t="s">
        <v>149</v>
      </c>
      <c r="X29" s="61"/>
    </row>
    <row r="30" spans="1:24" ht="16.5">
      <c r="A30" s="215"/>
      <c r="H30" s="83"/>
      <c r="I30" s="25" t="s">
        <v>31</v>
      </c>
      <c r="J30" s="81" t="s">
        <v>127</v>
      </c>
      <c r="K30" s="228"/>
      <c r="L30" s="227">
        <v>0</v>
      </c>
      <c r="M30" s="164"/>
      <c r="N30" s="163">
        <v>0</v>
      </c>
      <c r="O30" s="74">
        <v>24</v>
      </c>
      <c r="P30" s="75">
        <f t="shared" si="3"/>
        <v>144</v>
      </c>
      <c r="Q30" s="218"/>
      <c r="R30" s="11">
        <f t="shared" si="1"/>
        <v>144</v>
      </c>
      <c r="S30" s="107"/>
      <c r="T30" s="5"/>
      <c r="U30" s="186" t="s">
        <v>160</v>
      </c>
      <c r="V30" s="172">
        <f>+V29/V28</f>
        <v>4</v>
      </c>
      <c r="W30" s="173" t="s">
        <v>150</v>
      </c>
      <c r="X30" s="61"/>
    </row>
    <row r="31" spans="1:24">
      <c r="A31" s="215"/>
      <c r="H31" s="83"/>
      <c r="I31" s="25" t="s">
        <v>30</v>
      </c>
      <c r="J31" s="81" t="s">
        <v>126</v>
      </c>
      <c r="K31" s="228"/>
      <c r="L31" s="227">
        <f>+K31*3</f>
        <v>0</v>
      </c>
      <c r="M31" s="164"/>
      <c r="N31" s="163">
        <f>+M31*3</f>
        <v>0</v>
      </c>
      <c r="O31" s="28">
        <v>25</v>
      </c>
      <c r="P31" s="11">
        <f t="shared" si="3"/>
        <v>150</v>
      </c>
      <c r="Q31" s="218"/>
      <c r="R31" s="11">
        <f t="shared" si="1"/>
        <v>150</v>
      </c>
      <c r="S31" s="107"/>
      <c r="T31" s="5"/>
      <c r="U31" s="58"/>
      <c r="V31" s="59"/>
      <c r="W31" s="60"/>
      <c r="X31" s="65"/>
    </row>
    <row r="32" spans="1:24">
      <c r="A32" s="215"/>
      <c r="H32" s="201" t="s">
        <v>50</v>
      </c>
      <c r="I32" s="202" t="s">
        <v>186</v>
      </c>
      <c r="J32" s="203" t="s">
        <v>187</v>
      </c>
      <c r="K32" s="229"/>
      <c r="L32" s="230">
        <v>0</v>
      </c>
      <c r="M32" s="192"/>
      <c r="N32" s="193">
        <v>0</v>
      </c>
      <c r="O32" s="192">
        <v>27</v>
      </c>
      <c r="P32" s="193">
        <f t="shared" si="3"/>
        <v>150</v>
      </c>
      <c r="Q32" s="221"/>
      <c r="R32" s="193">
        <f t="shared" si="1"/>
        <v>150</v>
      </c>
      <c r="S32" s="108"/>
      <c r="T32" s="5"/>
      <c r="U32" s="58"/>
      <c r="V32" s="66"/>
      <c r="W32" s="67"/>
      <c r="X32" s="66"/>
    </row>
    <row r="33" spans="1:24" s="4" customFormat="1">
      <c r="A33" s="215"/>
      <c r="B33"/>
      <c r="C33"/>
      <c r="D33" s="1"/>
      <c r="E33"/>
      <c r="F33" s="2"/>
      <c r="G33"/>
      <c r="H33" s="83"/>
      <c r="I33" s="25" t="s">
        <v>17</v>
      </c>
      <c r="J33" s="81" t="s">
        <v>123</v>
      </c>
      <c r="K33" s="228"/>
      <c r="L33" s="227">
        <f>+K33*3</f>
        <v>0</v>
      </c>
      <c r="M33" s="164"/>
      <c r="N33" s="163">
        <f>+M33*3</f>
        <v>0</v>
      </c>
      <c r="O33" s="74"/>
      <c r="P33" s="75">
        <f t="shared" si="3"/>
        <v>0</v>
      </c>
      <c r="Q33" s="218"/>
      <c r="R33" s="11">
        <f t="shared" si="1"/>
        <v>0</v>
      </c>
      <c r="S33" s="107"/>
      <c r="T33" s="5"/>
      <c r="U33" s="64"/>
      <c r="V33" s="59"/>
      <c r="W33" s="60"/>
      <c r="X33" s="68"/>
    </row>
    <row r="34" spans="1:24">
      <c r="A34" s="215"/>
      <c r="H34" s="83"/>
      <c r="I34" s="25" t="s">
        <v>60</v>
      </c>
      <c r="J34" s="81" t="s">
        <v>132</v>
      </c>
      <c r="K34" s="228"/>
      <c r="L34" s="227">
        <v>0</v>
      </c>
      <c r="M34" s="164"/>
      <c r="N34" s="163">
        <v>0</v>
      </c>
      <c r="O34" s="74"/>
      <c r="P34" s="75">
        <f t="shared" si="3"/>
        <v>0</v>
      </c>
      <c r="Q34" s="218"/>
      <c r="R34" s="11">
        <f t="shared" si="1"/>
        <v>0</v>
      </c>
      <c r="S34" s="107"/>
      <c r="T34" s="5"/>
      <c r="U34" s="58"/>
      <c r="V34" s="59"/>
      <c r="W34" s="67"/>
      <c r="X34" s="69"/>
    </row>
    <row r="35" spans="1:24">
      <c r="A35" s="215"/>
      <c r="H35" s="142"/>
      <c r="I35" s="25" t="s">
        <v>8</v>
      </c>
      <c r="J35" s="81" t="s">
        <v>120</v>
      </c>
      <c r="K35" s="228"/>
      <c r="L35" s="227">
        <v>0</v>
      </c>
      <c r="M35" s="164"/>
      <c r="N35" s="163">
        <v>0</v>
      </c>
      <c r="O35" s="28">
        <v>1</v>
      </c>
      <c r="P35" s="75">
        <f t="shared" si="3"/>
        <v>6</v>
      </c>
      <c r="Q35" s="218"/>
      <c r="R35" s="57">
        <f t="shared" si="1"/>
        <v>6</v>
      </c>
      <c r="S35" s="107"/>
      <c r="T35" s="5"/>
      <c r="U35" s="58"/>
      <c r="V35" s="59"/>
      <c r="W35" s="60"/>
      <c r="X35" s="65"/>
    </row>
    <row r="36" spans="1:24">
      <c r="A36" s="215"/>
      <c r="H36" s="83"/>
      <c r="I36" s="25" t="s">
        <v>11</v>
      </c>
      <c r="J36" s="96" t="s">
        <v>130</v>
      </c>
      <c r="K36" s="228"/>
      <c r="L36" s="227">
        <f>+K36*3</f>
        <v>0</v>
      </c>
      <c r="M36" s="164"/>
      <c r="N36" s="163">
        <f>+M36*3</f>
        <v>0</v>
      </c>
      <c r="O36" s="74">
        <v>26</v>
      </c>
      <c r="P36" s="75">
        <f t="shared" si="3"/>
        <v>150</v>
      </c>
      <c r="Q36" s="220"/>
      <c r="R36" s="11">
        <f t="shared" si="1"/>
        <v>150</v>
      </c>
      <c r="S36" s="107"/>
      <c r="T36" s="5"/>
      <c r="U36" s="58"/>
      <c r="V36" s="59"/>
      <c r="W36" s="60"/>
      <c r="X36" s="61"/>
    </row>
    <row r="37" spans="1:24">
      <c r="H37" s="83"/>
      <c r="I37" s="25" t="s">
        <v>48</v>
      </c>
      <c r="J37" s="81" t="s">
        <v>131</v>
      </c>
      <c r="K37" s="228"/>
      <c r="L37" s="227">
        <f>+K37*3</f>
        <v>0</v>
      </c>
      <c r="M37" s="164"/>
      <c r="N37" s="163">
        <f>+M37*3</f>
        <v>0</v>
      </c>
      <c r="O37" s="74"/>
      <c r="P37" s="75">
        <f t="shared" si="3"/>
        <v>0</v>
      </c>
      <c r="Q37" s="218"/>
      <c r="R37" s="11">
        <f t="shared" si="1"/>
        <v>0</v>
      </c>
      <c r="S37" s="107"/>
      <c r="T37" s="5"/>
      <c r="U37" s="58"/>
      <c r="V37" s="59"/>
      <c r="W37" s="62"/>
      <c r="X37" s="63"/>
    </row>
    <row r="38" spans="1:24">
      <c r="H38" s="83"/>
      <c r="I38" s="25" t="s">
        <v>44</v>
      </c>
      <c r="J38" s="96" t="s">
        <v>124</v>
      </c>
      <c r="K38" s="228"/>
      <c r="L38" s="227">
        <f>+K38*3</f>
        <v>0</v>
      </c>
      <c r="M38" s="164"/>
      <c r="N38" s="163">
        <f>+M38*3</f>
        <v>0</v>
      </c>
      <c r="O38" s="113"/>
      <c r="P38" s="75">
        <f t="shared" si="3"/>
        <v>0</v>
      </c>
      <c r="Q38" s="218"/>
      <c r="R38" s="11">
        <f t="shared" si="1"/>
        <v>0</v>
      </c>
      <c r="S38" s="107"/>
      <c r="T38" s="5"/>
      <c r="U38" s="58"/>
      <c r="V38" s="59"/>
      <c r="W38" s="67"/>
      <c r="X38" s="66"/>
    </row>
    <row r="39" spans="1:24">
      <c r="H39" s="201" t="s">
        <v>50</v>
      </c>
      <c r="I39" s="21" t="s">
        <v>6</v>
      </c>
      <c r="J39" s="20" t="s">
        <v>116</v>
      </c>
      <c r="K39" s="229"/>
      <c r="L39" s="230">
        <f>+K39*3</f>
        <v>0</v>
      </c>
      <c r="M39" s="160"/>
      <c r="N39" s="161">
        <f>+M39*3</f>
        <v>0</v>
      </c>
      <c r="O39" s="23">
        <v>22</v>
      </c>
      <c r="P39" s="24">
        <f t="shared" si="3"/>
        <v>132</v>
      </c>
      <c r="Q39" s="219"/>
      <c r="R39" s="24">
        <f t="shared" si="1"/>
        <v>132</v>
      </c>
      <c r="S39" s="108"/>
      <c r="T39" s="5"/>
      <c r="U39" s="58"/>
      <c r="V39" s="59"/>
      <c r="W39" s="60"/>
      <c r="X39" s="65"/>
    </row>
    <row r="40" spans="1:24">
      <c r="H40" s="95"/>
      <c r="I40" s="25" t="s">
        <v>53</v>
      </c>
      <c r="J40" s="81" t="s">
        <v>135</v>
      </c>
      <c r="K40" s="228"/>
      <c r="L40" s="227">
        <v>0</v>
      </c>
      <c r="M40" s="164"/>
      <c r="N40" s="163">
        <v>0</v>
      </c>
      <c r="O40" s="28">
        <v>24</v>
      </c>
      <c r="P40" s="75">
        <f t="shared" si="3"/>
        <v>144</v>
      </c>
      <c r="Q40" s="218"/>
      <c r="R40" s="11">
        <f t="shared" si="1"/>
        <v>144</v>
      </c>
      <c r="S40" s="107"/>
      <c r="T40" s="5"/>
      <c r="U40" s="58"/>
      <c r="V40" s="59"/>
      <c r="W40" s="60"/>
      <c r="X40" s="65"/>
    </row>
    <row r="41" spans="1:24">
      <c r="H41" s="81"/>
      <c r="I41" s="120" t="s">
        <v>12</v>
      </c>
      <c r="J41" s="150" t="s">
        <v>114</v>
      </c>
      <c r="K41" s="232"/>
      <c r="L41" s="233">
        <v>0</v>
      </c>
      <c r="M41" s="165"/>
      <c r="N41" s="166">
        <v>0</v>
      </c>
      <c r="O41" s="122">
        <v>32</v>
      </c>
      <c r="P41" s="147">
        <f t="shared" si="3"/>
        <v>150</v>
      </c>
      <c r="Q41" s="222"/>
      <c r="R41" s="124">
        <f t="shared" si="1"/>
        <v>150</v>
      </c>
      <c r="S41" s="148"/>
      <c r="T41" s="5"/>
      <c r="U41" s="58"/>
      <c r="V41" s="59"/>
      <c r="W41" s="60"/>
      <c r="X41" s="61"/>
    </row>
    <row r="42" spans="1:24">
      <c r="I42" s="13"/>
      <c r="J42" s="14"/>
      <c r="K42" s="234">
        <f>SUM(K5:K41)</f>
        <v>0</v>
      </c>
      <c r="L42" s="235">
        <f>SUM(L5:L41)</f>
        <v>0</v>
      </c>
      <c r="M42" s="167">
        <f t="shared" ref="M42:S42" si="4">SUM(M5:M41)</f>
        <v>0</v>
      </c>
      <c r="N42" s="168">
        <f t="shared" si="4"/>
        <v>0</v>
      </c>
      <c r="O42" s="77">
        <f t="shared" si="4"/>
        <v>533</v>
      </c>
      <c r="P42" s="78">
        <f t="shared" si="4"/>
        <v>2910</v>
      </c>
      <c r="Q42" s="223">
        <f t="shared" si="4"/>
        <v>0</v>
      </c>
      <c r="R42" s="78">
        <f t="shared" si="4"/>
        <v>2910</v>
      </c>
      <c r="S42" s="102">
        <f t="shared" si="4"/>
        <v>0</v>
      </c>
      <c r="T42" s="5"/>
      <c r="U42" s="58"/>
      <c r="V42" s="59"/>
      <c r="W42" s="60"/>
      <c r="X42" s="61"/>
    </row>
    <row r="43" spans="1:24">
      <c r="J43" s="200">
        <f ca="1">TODAY()</f>
        <v>43825</v>
      </c>
      <c r="K43" s="41"/>
      <c r="M43" s="42"/>
      <c r="N43" s="41"/>
      <c r="O43" s="45" t="s">
        <v>81</v>
      </c>
      <c r="Q43" s="42"/>
      <c r="R43" s="45">
        <f>+R39+R23+R29+R28+R32</f>
        <v>438</v>
      </c>
      <c r="T43" s="5"/>
      <c r="U43" s="58"/>
      <c r="V43" s="59"/>
      <c r="W43" s="60"/>
      <c r="X43" s="65"/>
    </row>
    <row r="44" spans="1:24">
      <c r="L44" s="43"/>
      <c r="M44" s="44"/>
      <c r="N44" s="125"/>
      <c r="O44" s="43" t="s">
        <v>91</v>
      </c>
      <c r="P44" s="114"/>
      <c r="Q44" s="110" t="s">
        <v>58</v>
      </c>
      <c r="R44" s="111">
        <f>+R42-R43</f>
        <v>2472</v>
      </c>
      <c r="S44" s="109"/>
      <c r="T44" s="5"/>
      <c r="U44" s="58"/>
      <c r="V44" s="59"/>
      <c r="W44" s="62"/>
      <c r="X44" s="60"/>
    </row>
    <row r="45" spans="1:24" ht="3.95" customHeight="1">
      <c r="P45" s="19"/>
      <c r="U45" s="58"/>
      <c r="V45" s="59"/>
      <c r="W45" s="62"/>
      <c r="X45" s="60"/>
    </row>
    <row r="46" spans="1:24">
      <c r="I46" s="224" t="s">
        <v>199</v>
      </c>
      <c r="P46" s="19"/>
      <c r="U46" s="64"/>
      <c r="V46" s="59"/>
      <c r="W46" s="60"/>
      <c r="X46" s="68"/>
    </row>
    <row r="47" spans="1:24">
      <c r="I47" s="224" t="s">
        <v>200</v>
      </c>
      <c r="P47" s="19"/>
      <c r="U47" s="58"/>
      <c r="V47" s="66"/>
      <c r="W47" s="67"/>
      <c r="X47" s="69"/>
    </row>
    <row r="48" spans="1:24">
      <c r="I48" s="224" t="s">
        <v>201</v>
      </c>
      <c r="P48" s="19"/>
      <c r="U48" s="60"/>
      <c r="V48" s="59"/>
      <c r="W48" s="60"/>
      <c r="X48" s="60"/>
    </row>
    <row r="49" spans="9:24">
      <c r="I49" s="224" t="s">
        <v>202</v>
      </c>
      <c r="P49" s="19"/>
      <c r="U49" s="60"/>
      <c r="V49" s="59"/>
      <c r="W49" s="60"/>
      <c r="X49" s="60"/>
    </row>
    <row r="50" spans="9:24">
      <c r="I50" s="224" t="s">
        <v>203</v>
      </c>
      <c r="P50" s="19"/>
      <c r="U50" s="60"/>
      <c r="V50" s="59"/>
      <c r="W50" s="60"/>
      <c r="X50" s="60"/>
    </row>
    <row r="51" spans="9:24">
      <c r="I51" s="224" t="s">
        <v>204</v>
      </c>
      <c r="U51" s="60"/>
      <c r="V51" s="59"/>
      <c r="W51" s="60"/>
      <c r="X51" s="60"/>
    </row>
    <row r="52" spans="9:24">
      <c r="I52" s="224" t="s">
        <v>205</v>
      </c>
      <c r="P52" s="19"/>
      <c r="U52" s="60"/>
      <c r="V52" s="59"/>
      <c r="W52" s="60"/>
      <c r="X52" s="60"/>
    </row>
    <row r="53" spans="9:24" ht="3.95" customHeight="1">
      <c r="I53" s="224" t="s">
        <v>206</v>
      </c>
      <c r="P53" s="19"/>
      <c r="U53" s="60"/>
      <c r="V53" s="59"/>
      <c r="W53" s="60"/>
      <c r="X53" s="60"/>
    </row>
    <row r="54" spans="9:24">
      <c r="P54" s="19"/>
      <c r="U54" s="60"/>
      <c r="V54" s="59"/>
      <c r="W54" s="60"/>
      <c r="X54" s="60"/>
    </row>
    <row r="55" spans="9:24">
      <c r="U55" s="60"/>
      <c r="V55" s="59"/>
      <c r="W55" s="60"/>
      <c r="X55" s="60"/>
    </row>
  </sheetData>
  <mergeCells count="4">
    <mergeCell ref="I2:R2"/>
    <mergeCell ref="K3:N3"/>
    <mergeCell ref="O3:P3"/>
    <mergeCell ref="T3:V3"/>
  </mergeCells>
  <conditionalFormatting sqref="R5">
    <cfRule type="cellIs" dxfId="31" priority="3" operator="lessThanOrEqual">
      <formula>0</formula>
    </cfRule>
  </conditionalFormatting>
  <conditionalFormatting sqref="R40:R41 R5:R38">
    <cfRule type="cellIs" dxfId="30" priority="2" operator="greaterThan">
      <formula>0</formula>
    </cfRule>
  </conditionalFormatting>
  <conditionalFormatting sqref="R39">
    <cfRule type="cellIs" dxfId="29" priority="1" operator="greaterThan">
      <formula>0</formula>
    </cfRule>
  </conditionalFormatting>
  <printOptions horizontalCentered="1"/>
  <pageMargins left="0" right="0" top="0.83" bottom="0" header="0" footer="0"/>
  <pageSetup paperSize="9" scale="93" orientation="portrait" r:id="rId1"/>
  <ignoredErrors>
    <ignoredError sqref="L18:N24" formula="1"/>
  </ignoredErrors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55"/>
  <sheetViews>
    <sheetView zoomScale="85" zoomScaleNormal="85" workbookViewId="0">
      <pane xSplit="10" ySplit="4" topLeftCell="K44" activePane="bottomRight" state="frozen"/>
      <selection pane="topRight" activeCell="K1" sqref="K1"/>
      <selection pane="bottomLeft" activeCell="A5" sqref="A5"/>
      <selection pane="bottomRight" activeCell="K44" sqref="K44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5.42578125" customWidth="1"/>
    <col min="9" max="9" width="7.7109375" customWidth="1"/>
    <col min="10" max="10" width="23" customWidth="1"/>
    <col min="11" max="11" width="6.140625" customWidth="1"/>
    <col min="12" max="12" width="11.28515625" customWidth="1"/>
    <col min="13" max="13" width="6.140625" customWidth="1"/>
    <col min="14" max="14" width="11.28515625" customWidth="1"/>
    <col min="15" max="15" width="6.140625" customWidth="1"/>
    <col min="16" max="16" width="11.42578125" customWidth="1"/>
    <col min="17" max="17" width="6.140625" customWidth="1"/>
    <col min="18" max="18" width="13.85546875" customWidth="1"/>
    <col min="19" max="19" width="4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4" ht="5.0999999999999996" customHeight="1"/>
    <row r="2" spans="8:24">
      <c r="H2" s="83"/>
      <c r="I2" s="439" t="s">
        <v>198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4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4" ht="42.75" customHeight="1">
      <c r="H4" s="83" t="s">
        <v>143</v>
      </c>
      <c r="I4" s="86" t="s">
        <v>7</v>
      </c>
      <c r="J4" s="86" t="s">
        <v>3</v>
      </c>
      <c r="K4" s="204" t="s">
        <v>15</v>
      </c>
      <c r="L4" s="204" t="s">
        <v>193</v>
      </c>
      <c r="M4" s="198" t="s">
        <v>15</v>
      </c>
      <c r="N4" s="198" t="s">
        <v>194</v>
      </c>
      <c r="O4" s="87" t="s">
        <v>15</v>
      </c>
      <c r="P4" s="87" t="s">
        <v>192</v>
      </c>
      <c r="Q4" s="99" t="s">
        <v>197</v>
      </c>
      <c r="R4" s="88" t="s">
        <v>103</v>
      </c>
      <c r="S4" s="139" t="s">
        <v>104</v>
      </c>
      <c r="T4" s="89"/>
      <c r="U4" s="83"/>
      <c r="V4" s="83"/>
    </row>
    <row r="5" spans="8:24">
      <c r="H5" s="83"/>
      <c r="I5" s="126" t="s">
        <v>5</v>
      </c>
      <c r="J5" s="80" t="s">
        <v>117</v>
      </c>
      <c r="K5" s="205"/>
      <c r="L5" s="206">
        <f>+K5*3</f>
        <v>0</v>
      </c>
      <c r="M5" s="162"/>
      <c r="N5" s="163">
        <f>+M5*3</f>
        <v>0</v>
      </c>
      <c r="O5" s="76">
        <v>34</v>
      </c>
      <c r="P5" s="75">
        <f t="shared" ref="P5:P14" si="0">IF(O5&gt;25,150,(O5)*6)</f>
        <v>150</v>
      </c>
      <c r="Q5" s="217"/>
      <c r="R5" s="11">
        <f t="shared" ref="R5:R41" si="1">+L5+N5+P5+Q5</f>
        <v>150</v>
      </c>
      <c r="S5" s="106"/>
      <c r="T5" s="5"/>
      <c r="U5" s="92">
        <v>828</v>
      </c>
      <c r="V5" s="93">
        <v>107.64</v>
      </c>
      <c r="W5" s="94">
        <v>720.36</v>
      </c>
      <c r="X5" s="70" t="s">
        <v>36</v>
      </c>
    </row>
    <row r="6" spans="8:24">
      <c r="H6" s="83"/>
      <c r="I6" s="126" t="s">
        <v>82</v>
      </c>
      <c r="J6" s="80" t="s">
        <v>141</v>
      </c>
      <c r="K6" s="205"/>
      <c r="L6" s="206">
        <f>+K6*3</f>
        <v>0</v>
      </c>
      <c r="M6" s="162"/>
      <c r="N6" s="163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0">
        <f>+V6+W6</f>
        <v>827.58620689655174</v>
      </c>
      <c r="V6" s="71">
        <f>+V5*W6/W5</f>
        <v>107.58620689655173</v>
      </c>
      <c r="W6" s="31">
        <v>720</v>
      </c>
      <c r="X6" s="36"/>
    </row>
    <row r="7" spans="8:24">
      <c r="H7" s="83"/>
      <c r="I7" s="126" t="s">
        <v>64</v>
      </c>
      <c r="J7" s="80" t="s">
        <v>138</v>
      </c>
      <c r="K7" s="205"/>
      <c r="L7" s="206">
        <f>+K7*3</f>
        <v>0</v>
      </c>
      <c r="M7" s="162"/>
      <c r="N7" s="163">
        <f>+M7*3</f>
        <v>0</v>
      </c>
      <c r="O7" s="76">
        <v>28</v>
      </c>
      <c r="P7" s="75">
        <f t="shared" si="0"/>
        <v>150</v>
      </c>
      <c r="Q7" s="217"/>
      <c r="R7" s="11">
        <f t="shared" si="1"/>
        <v>150</v>
      </c>
      <c r="S7" s="106"/>
      <c r="T7" s="5"/>
      <c r="U7" s="32">
        <f>+U5-U6</f>
        <v>0.41379310344825626</v>
      </c>
      <c r="V7" s="47"/>
      <c r="W7" s="33"/>
      <c r="X7" s="4" t="s">
        <v>59</v>
      </c>
    </row>
    <row r="8" spans="8:24">
      <c r="H8" s="83"/>
      <c r="I8" s="25" t="s">
        <v>2</v>
      </c>
      <c r="J8" s="81" t="s">
        <v>107</v>
      </c>
      <c r="K8" s="207"/>
      <c r="L8" s="206">
        <f>+K8*3</f>
        <v>0</v>
      </c>
      <c r="M8" s="164"/>
      <c r="N8" s="163">
        <f>+M8*3</f>
        <v>0</v>
      </c>
      <c r="O8" s="74">
        <v>30</v>
      </c>
      <c r="P8" s="75">
        <f t="shared" si="0"/>
        <v>150</v>
      </c>
      <c r="Q8" s="217"/>
      <c r="R8" s="11">
        <f t="shared" si="1"/>
        <v>150</v>
      </c>
      <c r="S8" s="138"/>
      <c r="T8" s="5"/>
      <c r="U8" s="34">
        <v>150</v>
      </c>
      <c r="V8" s="38">
        <f>+U8-U7</f>
        <v>149.58620689655174</v>
      </c>
      <c r="W8" s="39" t="s">
        <v>63</v>
      </c>
      <c r="X8" s="6">
        <f>150-V8</f>
        <v>0.41379310344825626</v>
      </c>
    </row>
    <row r="9" spans="8:24">
      <c r="H9" s="95"/>
      <c r="I9" s="25" t="s">
        <v>42</v>
      </c>
      <c r="J9" s="81" t="s">
        <v>119</v>
      </c>
      <c r="K9" s="207"/>
      <c r="L9" s="206">
        <f>+K9*3</f>
        <v>0</v>
      </c>
      <c r="M9" s="164"/>
      <c r="N9" s="163">
        <f>+M9*3</f>
        <v>0</v>
      </c>
      <c r="O9" s="28">
        <v>25</v>
      </c>
      <c r="P9" s="75">
        <f t="shared" si="0"/>
        <v>150</v>
      </c>
      <c r="Q9" s="218"/>
      <c r="R9" s="11">
        <f t="shared" si="1"/>
        <v>150</v>
      </c>
      <c r="S9" s="107"/>
      <c r="T9" s="5"/>
      <c r="U9" s="10"/>
      <c r="X9" s="37"/>
    </row>
    <row r="10" spans="8:24" ht="15" customHeight="1">
      <c r="H10" s="83"/>
      <c r="I10" s="25" t="s">
        <v>1</v>
      </c>
      <c r="J10" s="81" t="s">
        <v>106</v>
      </c>
      <c r="K10" s="207"/>
      <c r="L10" s="206">
        <f>3*K10</f>
        <v>0</v>
      </c>
      <c r="M10" s="164"/>
      <c r="N10" s="163">
        <f>3*M10</f>
        <v>0</v>
      </c>
      <c r="O10" s="74"/>
      <c r="P10" s="75">
        <f t="shared" si="0"/>
        <v>0</v>
      </c>
      <c r="Q10" s="217"/>
      <c r="R10" s="9">
        <f t="shared" si="1"/>
        <v>0</v>
      </c>
      <c r="S10" s="107"/>
      <c r="T10" s="5"/>
      <c r="U10" s="92">
        <v>856</v>
      </c>
      <c r="V10" s="93">
        <v>110.51</v>
      </c>
      <c r="W10" s="94">
        <v>745.49</v>
      </c>
      <c r="X10" s="70" t="s">
        <v>35</v>
      </c>
    </row>
    <row r="11" spans="8:24">
      <c r="H11" s="141"/>
      <c r="I11" s="126" t="s">
        <v>56</v>
      </c>
      <c r="J11" s="80" t="s">
        <v>136</v>
      </c>
      <c r="K11" s="205"/>
      <c r="L11" s="206">
        <v>0</v>
      </c>
      <c r="M11" s="162"/>
      <c r="N11" s="163">
        <v>0</v>
      </c>
      <c r="O11" s="74"/>
      <c r="P11" s="75">
        <f t="shared" si="0"/>
        <v>0</v>
      </c>
      <c r="Q11" s="217"/>
      <c r="R11" s="9">
        <f t="shared" si="1"/>
        <v>0</v>
      </c>
      <c r="S11" s="107"/>
      <c r="T11" s="5"/>
      <c r="U11" s="30">
        <f>+V11+W11</f>
        <v>826.7314115548163</v>
      </c>
      <c r="V11" s="71">
        <f>+V10*W11/W10</f>
        <v>106.73141155481629</v>
      </c>
      <c r="W11" s="31">
        <v>720</v>
      </c>
      <c r="X11" s="37"/>
    </row>
    <row r="12" spans="8:24">
      <c r="H12" s="95"/>
      <c r="I12" s="25" t="s">
        <v>16</v>
      </c>
      <c r="J12" s="81" t="s">
        <v>113</v>
      </c>
      <c r="K12" s="207"/>
      <c r="L12" s="206">
        <v>0</v>
      </c>
      <c r="M12" s="164"/>
      <c r="N12" s="163">
        <v>0</v>
      </c>
      <c r="O12" s="28">
        <v>28</v>
      </c>
      <c r="P12" s="75">
        <f t="shared" si="0"/>
        <v>150</v>
      </c>
      <c r="Q12" s="218"/>
      <c r="R12" s="9">
        <f t="shared" si="1"/>
        <v>150</v>
      </c>
      <c r="S12" s="106"/>
      <c r="T12" s="5"/>
      <c r="U12" s="32">
        <f>+U10-U11</f>
        <v>29.268588445183696</v>
      </c>
      <c r="V12" s="47"/>
      <c r="W12" s="33"/>
      <c r="X12" s="4" t="s">
        <v>59</v>
      </c>
    </row>
    <row r="13" spans="8:24">
      <c r="H13" s="83"/>
      <c r="I13" s="25" t="s">
        <v>92</v>
      </c>
      <c r="J13" s="81" t="s">
        <v>109</v>
      </c>
      <c r="K13" s="207">
        <v>11</v>
      </c>
      <c r="L13" s="206">
        <v>0</v>
      </c>
      <c r="M13" s="164">
        <v>15</v>
      </c>
      <c r="N13" s="163">
        <v>0</v>
      </c>
      <c r="O13" s="74"/>
      <c r="P13" s="75">
        <f t="shared" si="0"/>
        <v>0</v>
      </c>
      <c r="Q13" s="217"/>
      <c r="R13" s="9">
        <f t="shared" si="1"/>
        <v>0</v>
      </c>
      <c r="S13" s="107"/>
      <c r="T13" s="5"/>
      <c r="U13" s="34">
        <v>150</v>
      </c>
      <c r="V13" s="38">
        <f>+U13-U12</f>
        <v>120.7314115548163</v>
      </c>
      <c r="W13" s="39" t="s">
        <v>63</v>
      </c>
      <c r="X13" s="6">
        <f>150-V13</f>
        <v>29.268588445183696</v>
      </c>
    </row>
    <row r="14" spans="8:24">
      <c r="H14" s="95"/>
      <c r="I14" s="25" t="s">
        <v>20</v>
      </c>
      <c r="J14" s="81" t="s">
        <v>195</v>
      </c>
      <c r="K14" s="207"/>
      <c r="L14" s="206">
        <f>+K14*3</f>
        <v>0</v>
      </c>
      <c r="M14" s="164"/>
      <c r="N14" s="163">
        <f>+M14*3</f>
        <v>0</v>
      </c>
      <c r="O14" s="28">
        <v>29</v>
      </c>
      <c r="P14" s="75">
        <f t="shared" si="0"/>
        <v>150</v>
      </c>
      <c r="Q14" s="218"/>
      <c r="R14" s="9">
        <f t="shared" si="1"/>
        <v>150</v>
      </c>
      <c r="S14" s="107"/>
      <c r="T14" s="5"/>
      <c r="U14" s="10"/>
      <c r="X14" s="37"/>
    </row>
    <row r="15" spans="8:24">
      <c r="H15" s="95"/>
      <c r="I15" s="25" t="s">
        <v>69</v>
      </c>
      <c r="J15" s="81" t="s">
        <v>196</v>
      </c>
      <c r="K15" s="207">
        <v>15</v>
      </c>
      <c r="L15" s="206">
        <v>0</v>
      </c>
      <c r="M15" s="164">
        <v>12</v>
      </c>
      <c r="N15" s="163">
        <v>0</v>
      </c>
      <c r="O15" s="28"/>
      <c r="P15" s="75"/>
      <c r="Q15" s="218"/>
      <c r="R15" s="11">
        <f t="shared" si="1"/>
        <v>0</v>
      </c>
      <c r="S15" s="107"/>
      <c r="T15" s="5"/>
      <c r="U15" s="92">
        <f>644+150</f>
        <v>794</v>
      </c>
      <c r="V15" s="93">
        <v>0</v>
      </c>
      <c r="W15" s="101">
        <v>769.08</v>
      </c>
      <c r="X15" s="100" t="s">
        <v>21</v>
      </c>
    </row>
    <row r="16" spans="8:24">
      <c r="H16" s="95"/>
      <c r="I16" s="25" t="s">
        <v>25</v>
      </c>
      <c r="J16" s="81" t="s">
        <v>118</v>
      </c>
      <c r="K16" s="207"/>
      <c r="L16" s="206">
        <f>+K16*3</f>
        <v>0</v>
      </c>
      <c r="M16" s="164"/>
      <c r="N16" s="163">
        <f>+M16*3</f>
        <v>0</v>
      </c>
      <c r="O16" s="28">
        <v>29</v>
      </c>
      <c r="P16" s="75">
        <f t="shared" ref="P16:P26" si="2">IF(O16&gt;25,150,(O16)*6)</f>
        <v>150</v>
      </c>
      <c r="Q16" s="218"/>
      <c r="R16" s="11">
        <f t="shared" si="1"/>
        <v>150</v>
      </c>
      <c r="S16" s="107"/>
      <c r="T16" s="5"/>
      <c r="U16" s="30">
        <f>+V16+W16</f>
        <v>720</v>
      </c>
      <c r="V16" s="71">
        <f>+V15*W16/W15</f>
        <v>0</v>
      </c>
      <c r="W16" s="31">
        <v>720</v>
      </c>
      <c r="X16" s="37"/>
    </row>
    <row r="17" spans="1:24">
      <c r="H17" s="95"/>
      <c r="I17" s="25" t="s">
        <v>41</v>
      </c>
      <c r="J17" s="81" t="s">
        <v>112</v>
      </c>
      <c r="K17" s="207"/>
      <c r="L17" s="206">
        <f>+K17*3</f>
        <v>0</v>
      </c>
      <c r="M17" s="164"/>
      <c r="N17" s="163">
        <f>+M17*3</f>
        <v>0</v>
      </c>
      <c r="O17" s="28">
        <v>29</v>
      </c>
      <c r="P17" s="75">
        <f t="shared" si="2"/>
        <v>150</v>
      </c>
      <c r="Q17" s="218"/>
      <c r="R17" s="11">
        <f t="shared" si="1"/>
        <v>150</v>
      </c>
      <c r="S17" s="107"/>
      <c r="T17" s="5"/>
      <c r="U17" s="32">
        <f>+U15-U16</f>
        <v>74</v>
      </c>
      <c r="V17" s="47"/>
      <c r="W17" s="33"/>
      <c r="X17" s="4" t="s">
        <v>59</v>
      </c>
    </row>
    <row r="18" spans="1:24">
      <c r="A18" s="215"/>
      <c r="H18" s="83"/>
      <c r="I18" s="126" t="s">
        <v>71</v>
      </c>
      <c r="J18" s="80" t="s">
        <v>139</v>
      </c>
      <c r="K18" s="205"/>
      <c r="L18" s="206">
        <f>5*K18</f>
        <v>0</v>
      </c>
      <c r="M18" s="162"/>
      <c r="N18" s="163">
        <f>5*M18</f>
        <v>0</v>
      </c>
      <c r="O18" s="76">
        <v>30</v>
      </c>
      <c r="P18" s="75">
        <f t="shared" si="2"/>
        <v>150</v>
      </c>
      <c r="Q18" s="217"/>
      <c r="R18" s="11">
        <f t="shared" si="1"/>
        <v>150</v>
      </c>
      <c r="S18" s="106"/>
      <c r="T18" s="5"/>
      <c r="U18" s="34">
        <v>150</v>
      </c>
      <c r="V18" s="38">
        <f>+U18-U17</f>
        <v>76</v>
      </c>
      <c r="W18" s="39" t="s">
        <v>63</v>
      </c>
      <c r="X18" s="6">
        <f>150-V18</f>
        <v>74</v>
      </c>
    </row>
    <row r="19" spans="1:24">
      <c r="A19" s="215"/>
      <c r="H19" s="141"/>
      <c r="I19" s="25" t="s">
        <v>28</v>
      </c>
      <c r="J19" s="81" t="s">
        <v>122</v>
      </c>
      <c r="K19" s="207"/>
      <c r="L19" s="206">
        <f>+K19*3</f>
        <v>0</v>
      </c>
      <c r="M19" s="164"/>
      <c r="N19" s="163">
        <f>+M19*3</f>
        <v>0</v>
      </c>
      <c r="O19" s="74">
        <v>32</v>
      </c>
      <c r="P19" s="75">
        <f t="shared" si="2"/>
        <v>150</v>
      </c>
      <c r="Q19" s="217"/>
      <c r="R19" s="9">
        <f t="shared" si="1"/>
        <v>150</v>
      </c>
      <c r="S19" s="107"/>
      <c r="T19" s="5"/>
      <c r="U19" s="10"/>
      <c r="X19" s="37"/>
    </row>
    <row r="20" spans="1:24">
      <c r="A20" s="215"/>
      <c r="H20" s="201" t="s">
        <v>50</v>
      </c>
      <c r="I20" s="21" t="s">
        <v>10</v>
      </c>
      <c r="J20" s="20" t="s">
        <v>191</v>
      </c>
      <c r="K20" s="208">
        <v>25</v>
      </c>
      <c r="L20" s="209">
        <f>3*K20</f>
        <v>75</v>
      </c>
      <c r="M20" s="160">
        <v>24</v>
      </c>
      <c r="N20" s="161">
        <f>5*M20</f>
        <v>120</v>
      </c>
      <c r="O20" s="23"/>
      <c r="P20" s="24">
        <f t="shared" si="2"/>
        <v>0</v>
      </c>
      <c r="Q20" s="219"/>
      <c r="R20" s="24">
        <f t="shared" si="1"/>
        <v>195</v>
      </c>
      <c r="S20" s="197"/>
      <c r="T20" s="5"/>
      <c r="U20" s="58"/>
      <c r="V20" s="59"/>
      <c r="W20" s="60"/>
      <c r="X20" s="61"/>
    </row>
    <row r="21" spans="1:24">
      <c r="A21" s="215"/>
      <c r="H21" s="142"/>
      <c r="I21" s="25" t="s">
        <v>4</v>
      </c>
      <c r="J21" s="81" t="s">
        <v>111</v>
      </c>
      <c r="K21" s="207"/>
      <c r="L21" s="206">
        <v>0</v>
      </c>
      <c r="M21" s="164"/>
      <c r="N21" s="163">
        <v>0</v>
      </c>
      <c r="O21" s="28">
        <v>27</v>
      </c>
      <c r="P21" s="75">
        <f t="shared" si="2"/>
        <v>150</v>
      </c>
      <c r="Q21" s="218"/>
      <c r="R21" s="11">
        <f t="shared" si="1"/>
        <v>150</v>
      </c>
      <c r="S21" s="107"/>
      <c r="T21" s="5"/>
      <c r="U21" s="103" t="s">
        <v>161</v>
      </c>
    </row>
    <row r="22" spans="1:24">
      <c r="A22" s="215"/>
      <c r="H22" s="83"/>
      <c r="I22" s="25" t="s">
        <v>9</v>
      </c>
      <c r="J22" s="96" t="s">
        <v>128</v>
      </c>
      <c r="K22" s="207">
        <v>15</v>
      </c>
      <c r="L22" s="206">
        <v>0</v>
      </c>
      <c r="M22" s="164">
        <v>18</v>
      </c>
      <c r="N22" s="163">
        <v>0</v>
      </c>
      <c r="O22" s="74"/>
      <c r="P22" s="75">
        <f t="shared" si="2"/>
        <v>0</v>
      </c>
      <c r="Q22" s="220"/>
      <c r="R22" s="11">
        <f t="shared" si="1"/>
        <v>0</v>
      </c>
      <c r="S22" s="107"/>
      <c r="T22" s="5"/>
      <c r="U22" s="176" t="s">
        <v>158</v>
      </c>
      <c r="V22" s="177" t="s">
        <v>159</v>
      </c>
      <c r="W22" s="178"/>
      <c r="X22" s="174" t="s">
        <v>157</v>
      </c>
    </row>
    <row r="23" spans="1:24">
      <c r="A23" s="215"/>
      <c r="H23" s="214" t="s">
        <v>179</v>
      </c>
      <c r="I23" s="188" t="s">
        <v>51</v>
      </c>
      <c r="J23" s="189" t="s">
        <v>134</v>
      </c>
      <c r="K23" s="190"/>
      <c r="L23" s="191">
        <f>+K23*3</f>
        <v>0</v>
      </c>
      <c r="M23" s="192"/>
      <c r="N23" s="193">
        <f>+M23*3</f>
        <v>0</v>
      </c>
      <c r="O23" s="192">
        <v>30</v>
      </c>
      <c r="P23" s="193">
        <f t="shared" si="2"/>
        <v>150</v>
      </c>
      <c r="Q23" s="221"/>
      <c r="R23" s="196">
        <f t="shared" si="1"/>
        <v>150</v>
      </c>
      <c r="S23" s="197"/>
      <c r="T23" s="5"/>
      <c r="U23" s="179">
        <v>43480</v>
      </c>
      <c r="V23" s="170">
        <v>1</v>
      </c>
      <c r="W23" s="180"/>
      <c r="X23" s="33" t="s">
        <v>156</v>
      </c>
    </row>
    <row r="24" spans="1:24">
      <c r="A24" s="215"/>
      <c r="H24" s="83"/>
      <c r="I24" s="126" t="s">
        <v>61</v>
      </c>
      <c r="J24" s="80" t="s">
        <v>137</v>
      </c>
      <c r="K24" s="205">
        <v>21</v>
      </c>
      <c r="L24" s="206">
        <f>3*K24</f>
        <v>63</v>
      </c>
      <c r="M24" s="162">
        <v>21</v>
      </c>
      <c r="N24" s="163">
        <f>3*M24</f>
        <v>63</v>
      </c>
      <c r="O24" s="72"/>
      <c r="P24" s="75">
        <f t="shared" si="2"/>
        <v>0</v>
      </c>
      <c r="Q24" s="217"/>
      <c r="R24" s="11">
        <f t="shared" si="1"/>
        <v>126</v>
      </c>
      <c r="S24" s="106"/>
      <c r="T24" s="5"/>
      <c r="U24" s="179">
        <f>1+U23</f>
        <v>43481</v>
      </c>
      <c r="V24" s="170">
        <v>1</v>
      </c>
      <c r="W24" s="181"/>
      <c r="X24" s="33" t="s">
        <v>151</v>
      </c>
    </row>
    <row r="25" spans="1:24">
      <c r="A25" s="215"/>
      <c r="H25" s="83"/>
      <c r="I25" s="25" t="s">
        <v>14</v>
      </c>
      <c r="J25" s="96" t="s">
        <v>125</v>
      </c>
      <c r="K25" s="207">
        <v>21</v>
      </c>
      <c r="L25" s="206">
        <f>+K25*3</f>
        <v>63</v>
      </c>
      <c r="M25" s="164">
        <v>21</v>
      </c>
      <c r="N25" s="163">
        <f>+M25*3</f>
        <v>63</v>
      </c>
      <c r="O25" s="74"/>
      <c r="P25" s="75">
        <f t="shared" si="2"/>
        <v>0</v>
      </c>
      <c r="Q25" s="218">
        <v>10</v>
      </c>
      <c r="R25" s="11">
        <f t="shared" si="1"/>
        <v>136</v>
      </c>
      <c r="S25" s="107"/>
      <c r="T25" s="5"/>
      <c r="U25" s="179">
        <f>1+U24</f>
        <v>43482</v>
      </c>
      <c r="V25" s="170">
        <v>1</v>
      </c>
      <c r="W25" s="182"/>
      <c r="X25" s="33" t="s">
        <v>152</v>
      </c>
    </row>
    <row r="26" spans="1:24">
      <c r="A26" s="215"/>
      <c r="H26" s="83"/>
      <c r="I26" s="126" t="s">
        <v>79</v>
      </c>
      <c r="J26" s="82" t="s">
        <v>110</v>
      </c>
      <c r="K26" s="207">
        <v>18</v>
      </c>
      <c r="L26" s="206">
        <v>0</v>
      </c>
      <c r="M26" s="164">
        <v>19</v>
      </c>
      <c r="N26" s="163">
        <f>3*M26</f>
        <v>57</v>
      </c>
      <c r="O26" s="76"/>
      <c r="P26" s="75">
        <f t="shared" si="2"/>
        <v>0</v>
      </c>
      <c r="Q26" s="217">
        <v>10</v>
      </c>
      <c r="R26" s="11">
        <f t="shared" si="1"/>
        <v>67</v>
      </c>
      <c r="S26" s="106"/>
      <c r="T26" s="5"/>
      <c r="U26" s="179">
        <f>1+U25</f>
        <v>43483</v>
      </c>
      <c r="V26" s="170">
        <v>1</v>
      </c>
      <c r="W26" s="181"/>
      <c r="X26" s="33" t="s">
        <v>153</v>
      </c>
    </row>
    <row r="27" spans="1:24">
      <c r="A27" s="216"/>
      <c r="B27" s="4"/>
      <c r="C27" s="4"/>
      <c r="D27" s="3"/>
      <c r="E27" s="4"/>
      <c r="F27" s="40"/>
      <c r="G27" s="4"/>
      <c r="H27" s="83"/>
      <c r="I27" s="25" t="s">
        <v>0</v>
      </c>
      <c r="J27" s="81" t="s">
        <v>108</v>
      </c>
      <c r="K27" s="207">
        <v>8</v>
      </c>
      <c r="L27" s="206">
        <f>+K27*5</f>
        <v>40</v>
      </c>
      <c r="M27" s="164">
        <v>15</v>
      </c>
      <c r="N27" s="163">
        <f>+M27*5</f>
        <v>75</v>
      </c>
      <c r="O27" s="74"/>
      <c r="P27" s="75">
        <v>0</v>
      </c>
      <c r="Q27" s="217"/>
      <c r="R27" s="9">
        <f t="shared" si="1"/>
        <v>115</v>
      </c>
      <c r="S27" s="107"/>
      <c r="T27" s="5"/>
      <c r="U27" s="179">
        <f>1+U26</f>
        <v>43484</v>
      </c>
      <c r="V27" s="170">
        <v>0.5</v>
      </c>
      <c r="W27" s="183"/>
      <c r="X27" s="33" t="s">
        <v>154</v>
      </c>
    </row>
    <row r="28" spans="1:24">
      <c r="A28" s="215"/>
      <c r="H28" s="214" t="s">
        <v>179</v>
      </c>
      <c r="I28" s="188" t="s">
        <v>45</v>
      </c>
      <c r="J28" s="189" t="s">
        <v>133</v>
      </c>
      <c r="K28" s="190"/>
      <c r="L28" s="191">
        <f>+K28*3</f>
        <v>0</v>
      </c>
      <c r="M28" s="192"/>
      <c r="N28" s="193">
        <f>+M28*3</f>
        <v>0</v>
      </c>
      <c r="O28" s="192">
        <v>30</v>
      </c>
      <c r="P28" s="193">
        <f t="shared" ref="P28:P41" si="3">IF(O28&gt;25,150,(O28)*6)</f>
        <v>150</v>
      </c>
      <c r="Q28" s="221"/>
      <c r="R28" s="196">
        <f t="shared" si="1"/>
        <v>150</v>
      </c>
      <c r="S28" s="197"/>
      <c r="T28" s="5"/>
      <c r="U28" s="184"/>
      <c r="V28" s="170">
        <f>SUM(V23:V27)</f>
        <v>4.5</v>
      </c>
      <c r="W28" s="183" t="s">
        <v>148</v>
      </c>
      <c r="X28" s="175" t="s">
        <v>155</v>
      </c>
    </row>
    <row r="29" spans="1:24">
      <c r="A29" s="215"/>
      <c r="H29" s="201" t="s">
        <v>50</v>
      </c>
      <c r="I29" s="21" t="s">
        <v>13</v>
      </c>
      <c r="J29" s="20" t="s">
        <v>121</v>
      </c>
      <c r="K29" s="208">
        <v>23</v>
      </c>
      <c r="L29" s="209">
        <f>3*K29</f>
        <v>69</v>
      </c>
      <c r="M29" s="160">
        <v>20</v>
      </c>
      <c r="N29" s="161">
        <f>3*M29</f>
        <v>60</v>
      </c>
      <c r="O29" s="23"/>
      <c r="P29" s="24">
        <f t="shared" si="3"/>
        <v>0</v>
      </c>
      <c r="Q29" s="219">
        <v>10</v>
      </c>
      <c r="R29" s="24">
        <f t="shared" si="1"/>
        <v>139</v>
      </c>
      <c r="S29" s="108"/>
      <c r="T29" s="5"/>
      <c r="U29" s="184"/>
      <c r="V29" s="171">
        <v>18</v>
      </c>
      <c r="W29" s="185" t="s">
        <v>149</v>
      </c>
      <c r="X29" s="61"/>
    </row>
    <row r="30" spans="1:24" ht="16.5">
      <c r="A30" s="215"/>
      <c r="H30" s="83"/>
      <c r="I30" s="25" t="s">
        <v>31</v>
      </c>
      <c r="J30" s="81" t="s">
        <v>127</v>
      </c>
      <c r="K30" s="207"/>
      <c r="L30" s="206">
        <v>0</v>
      </c>
      <c r="M30" s="164"/>
      <c r="N30" s="163">
        <v>0</v>
      </c>
      <c r="O30" s="74">
        <v>22</v>
      </c>
      <c r="P30" s="75">
        <f t="shared" si="3"/>
        <v>132</v>
      </c>
      <c r="Q30" s="218"/>
      <c r="R30" s="11">
        <f t="shared" si="1"/>
        <v>132</v>
      </c>
      <c r="S30" s="107"/>
      <c r="T30" s="5"/>
      <c r="U30" s="186" t="s">
        <v>160</v>
      </c>
      <c r="V30" s="172">
        <f>+V29/V28</f>
        <v>4</v>
      </c>
      <c r="W30" s="173" t="s">
        <v>150</v>
      </c>
      <c r="X30" s="61"/>
    </row>
    <row r="31" spans="1:24">
      <c r="A31" s="215"/>
      <c r="H31" s="83"/>
      <c r="I31" s="25" t="s">
        <v>30</v>
      </c>
      <c r="J31" s="81" t="s">
        <v>126</v>
      </c>
      <c r="K31" s="207"/>
      <c r="L31" s="206">
        <f>+K31*3</f>
        <v>0</v>
      </c>
      <c r="M31" s="164"/>
      <c r="N31" s="163">
        <f>+M31*3</f>
        <v>0</v>
      </c>
      <c r="O31" s="28">
        <v>29</v>
      </c>
      <c r="P31" s="11">
        <f t="shared" si="3"/>
        <v>150</v>
      </c>
      <c r="Q31" s="218"/>
      <c r="R31" s="11">
        <f t="shared" si="1"/>
        <v>150</v>
      </c>
      <c r="S31" s="107"/>
      <c r="T31" s="5"/>
      <c r="U31" s="58"/>
      <c r="V31" s="59"/>
      <c r="W31" s="60"/>
      <c r="X31" s="65"/>
    </row>
    <row r="32" spans="1:24">
      <c r="A32" s="215"/>
      <c r="H32" s="201" t="s">
        <v>50</v>
      </c>
      <c r="I32" s="202" t="s">
        <v>186</v>
      </c>
      <c r="J32" s="203" t="s">
        <v>187</v>
      </c>
      <c r="K32" s="208"/>
      <c r="L32" s="209">
        <v>0</v>
      </c>
      <c r="M32" s="192"/>
      <c r="N32" s="193">
        <v>0</v>
      </c>
      <c r="O32" s="192">
        <v>20</v>
      </c>
      <c r="P32" s="193">
        <f t="shared" si="3"/>
        <v>120</v>
      </c>
      <c r="Q32" s="221"/>
      <c r="R32" s="193">
        <f t="shared" si="1"/>
        <v>120</v>
      </c>
      <c r="S32" s="108"/>
      <c r="T32" s="5"/>
      <c r="U32" s="58"/>
      <c r="V32" s="66"/>
      <c r="W32" s="67"/>
      <c r="X32" s="66"/>
    </row>
    <row r="33" spans="1:24" s="4" customFormat="1">
      <c r="A33" s="215"/>
      <c r="B33"/>
      <c r="C33"/>
      <c r="D33" s="1"/>
      <c r="E33"/>
      <c r="F33" s="2"/>
      <c r="G33"/>
      <c r="H33" s="83"/>
      <c r="I33" s="25" t="s">
        <v>17</v>
      </c>
      <c r="J33" s="81" t="s">
        <v>123</v>
      </c>
      <c r="K33" s="207"/>
      <c r="L33" s="206">
        <f>+K33*3</f>
        <v>0</v>
      </c>
      <c r="M33" s="164"/>
      <c r="N33" s="163">
        <f>+M33*3</f>
        <v>0</v>
      </c>
      <c r="O33" s="74">
        <v>2</v>
      </c>
      <c r="P33" s="75">
        <f t="shared" si="3"/>
        <v>12</v>
      </c>
      <c r="Q33" s="218"/>
      <c r="R33" s="11">
        <f t="shared" si="1"/>
        <v>12</v>
      </c>
      <c r="S33" s="107"/>
      <c r="T33" s="5"/>
      <c r="U33" s="64"/>
      <c r="V33" s="59"/>
      <c r="W33" s="60"/>
      <c r="X33" s="68"/>
    </row>
    <row r="34" spans="1:24">
      <c r="A34" s="215"/>
      <c r="H34" s="83"/>
      <c r="I34" s="25" t="s">
        <v>60</v>
      </c>
      <c r="J34" s="81" t="s">
        <v>132</v>
      </c>
      <c r="K34" s="207"/>
      <c r="L34" s="206">
        <v>0</v>
      </c>
      <c r="M34" s="164"/>
      <c r="N34" s="163">
        <v>0</v>
      </c>
      <c r="O34" s="74"/>
      <c r="P34" s="75">
        <f t="shared" si="3"/>
        <v>0</v>
      </c>
      <c r="Q34" s="218"/>
      <c r="R34" s="11">
        <f t="shared" si="1"/>
        <v>0</v>
      </c>
      <c r="S34" s="107"/>
      <c r="T34" s="5"/>
      <c r="U34" s="58"/>
      <c r="V34" s="59"/>
      <c r="W34" s="67"/>
      <c r="X34" s="69"/>
    </row>
    <row r="35" spans="1:24">
      <c r="A35" s="215"/>
      <c r="H35" s="142"/>
      <c r="I35" s="25" t="s">
        <v>8</v>
      </c>
      <c r="J35" s="81" t="s">
        <v>120</v>
      </c>
      <c r="K35" s="207"/>
      <c r="L35" s="206">
        <v>0</v>
      </c>
      <c r="M35" s="164"/>
      <c r="N35" s="163">
        <v>0</v>
      </c>
      <c r="O35" s="28">
        <v>30</v>
      </c>
      <c r="P35" s="75">
        <f t="shared" si="3"/>
        <v>150</v>
      </c>
      <c r="Q35" s="218"/>
      <c r="R35" s="57">
        <f t="shared" si="1"/>
        <v>150</v>
      </c>
      <c r="S35" s="107"/>
      <c r="T35" s="5"/>
      <c r="U35" s="58"/>
      <c r="V35" s="59"/>
      <c r="W35" s="60"/>
      <c r="X35" s="65"/>
    </row>
    <row r="36" spans="1:24">
      <c r="A36" s="215"/>
      <c r="H36" s="83"/>
      <c r="I36" s="25" t="s">
        <v>11</v>
      </c>
      <c r="J36" s="96" t="s">
        <v>130</v>
      </c>
      <c r="K36" s="207"/>
      <c r="L36" s="206">
        <f>+K36*3</f>
        <v>0</v>
      </c>
      <c r="M36" s="164"/>
      <c r="N36" s="163">
        <f>+M36*3</f>
        <v>0</v>
      </c>
      <c r="O36" s="74">
        <v>30</v>
      </c>
      <c r="P36" s="75">
        <f t="shared" si="3"/>
        <v>150</v>
      </c>
      <c r="Q36" s="220"/>
      <c r="R36" s="11">
        <f t="shared" si="1"/>
        <v>150</v>
      </c>
      <c r="S36" s="107"/>
      <c r="T36" s="5"/>
      <c r="U36" s="58"/>
      <c r="V36" s="59"/>
      <c r="W36" s="60"/>
      <c r="X36" s="61"/>
    </row>
    <row r="37" spans="1:24">
      <c r="H37" s="83"/>
      <c r="I37" s="25" t="s">
        <v>48</v>
      </c>
      <c r="J37" s="81" t="s">
        <v>131</v>
      </c>
      <c r="K37" s="207"/>
      <c r="L37" s="206">
        <f>+K37*3</f>
        <v>0</v>
      </c>
      <c r="M37" s="164"/>
      <c r="N37" s="163">
        <f>+M37*3</f>
        <v>0</v>
      </c>
      <c r="O37" s="74"/>
      <c r="P37" s="75">
        <f t="shared" si="3"/>
        <v>0</v>
      </c>
      <c r="Q37" s="218"/>
      <c r="R37" s="11">
        <f t="shared" si="1"/>
        <v>0</v>
      </c>
      <c r="S37" s="107"/>
      <c r="T37" s="5"/>
      <c r="U37" s="58"/>
      <c r="V37" s="59"/>
      <c r="W37" s="62"/>
      <c r="X37" s="63"/>
    </row>
    <row r="38" spans="1:24">
      <c r="H38" s="83"/>
      <c r="I38" s="25" t="s">
        <v>44</v>
      </c>
      <c r="J38" s="96" t="s">
        <v>124</v>
      </c>
      <c r="K38" s="207"/>
      <c r="L38" s="206">
        <f>+K38*3</f>
        <v>0</v>
      </c>
      <c r="M38" s="164"/>
      <c r="N38" s="163">
        <f>+M38*3</f>
        <v>0</v>
      </c>
      <c r="O38" s="113"/>
      <c r="P38" s="75">
        <f t="shared" si="3"/>
        <v>0</v>
      </c>
      <c r="Q38" s="218"/>
      <c r="R38" s="11">
        <f t="shared" si="1"/>
        <v>0</v>
      </c>
      <c r="S38" s="107"/>
      <c r="T38" s="5"/>
      <c r="U38" s="58"/>
      <c r="V38" s="59"/>
      <c r="W38" s="67"/>
      <c r="X38" s="66"/>
    </row>
    <row r="39" spans="1:24">
      <c r="H39" s="81"/>
      <c r="I39" s="25" t="s">
        <v>6</v>
      </c>
      <c r="J39" s="81" t="s">
        <v>116</v>
      </c>
      <c r="K39" s="207"/>
      <c r="L39" s="206">
        <f>+K39*3</f>
        <v>0</v>
      </c>
      <c r="M39" s="164"/>
      <c r="N39" s="163">
        <f>+M39*3</f>
        <v>0</v>
      </c>
      <c r="O39" s="28"/>
      <c r="P39" s="75">
        <f t="shared" si="3"/>
        <v>0</v>
      </c>
      <c r="Q39" s="218"/>
      <c r="R39" s="57">
        <f t="shared" si="1"/>
        <v>0</v>
      </c>
      <c r="S39" s="107"/>
      <c r="T39" s="5"/>
      <c r="U39" s="58"/>
      <c r="V39" s="59"/>
      <c r="W39" s="60"/>
      <c r="X39" s="65"/>
    </row>
    <row r="40" spans="1:24">
      <c r="H40" s="95"/>
      <c r="I40" s="25" t="s">
        <v>53</v>
      </c>
      <c r="J40" s="81" t="s">
        <v>135</v>
      </c>
      <c r="K40" s="207"/>
      <c r="L40" s="206">
        <v>0</v>
      </c>
      <c r="M40" s="164"/>
      <c r="N40" s="163">
        <v>0</v>
      </c>
      <c r="O40" s="28">
        <v>24</v>
      </c>
      <c r="P40" s="75">
        <f t="shared" si="3"/>
        <v>144</v>
      </c>
      <c r="Q40" s="218"/>
      <c r="R40" s="11">
        <f t="shared" si="1"/>
        <v>144</v>
      </c>
      <c r="S40" s="107"/>
      <c r="T40" s="5"/>
      <c r="U40" s="58"/>
      <c r="V40" s="59"/>
      <c r="W40" s="60"/>
      <c r="X40" s="65"/>
    </row>
    <row r="41" spans="1:24">
      <c r="H41" s="81"/>
      <c r="I41" s="120" t="s">
        <v>12</v>
      </c>
      <c r="J41" s="150" t="s">
        <v>114</v>
      </c>
      <c r="K41" s="210"/>
      <c r="L41" s="211">
        <v>0</v>
      </c>
      <c r="M41" s="165"/>
      <c r="N41" s="166">
        <v>0</v>
      </c>
      <c r="O41" s="122">
        <v>26</v>
      </c>
      <c r="P41" s="147">
        <f t="shared" si="3"/>
        <v>150</v>
      </c>
      <c r="Q41" s="222"/>
      <c r="R41" s="124">
        <f t="shared" si="1"/>
        <v>150</v>
      </c>
      <c r="S41" s="148"/>
      <c r="T41" s="5"/>
      <c r="U41" s="58"/>
      <c r="V41" s="59"/>
      <c r="W41" s="60"/>
      <c r="X41" s="61"/>
    </row>
    <row r="42" spans="1:24">
      <c r="I42" s="13"/>
      <c r="J42" s="14"/>
      <c r="K42" s="212">
        <f>SUM(K5:K41)</f>
        <v>157</v>
      </c>
      <c r="L42" s="213">
        <f>SUM(L5:L41)</f>
        <v>310</v>
      </c>
      <c r="M42" s="167">
        <f t="shared" ref="M42:S42" si="4">SUM(M5:M41)</f>
        <v>165</v>
      </c>
      <c r="N42" s="168">
        <f t="shared" si="4"/>
        <v>438</v>
      </c>
      <c r="O42" s="77">
        <f t="shared" si="4"/>
        <v>564</v>
      </c>
      <c r="P42" s="78">
        <f t="shared" si="4"/>
        <v>2958</v>
      </c>
      <c r="Q42" s="223">
        <f t="shared" si="4"/>
        <v>30</v>
      </c>
      <c r="R42" s="78">
        <f t="shared" si="4"/>
        <v>3736</v>
      </c>
      <c r="S42" s="102">
        <f t="shared" si="4"/>
        <v>0</v>
      </c>
      <c r="T42" s="5"/>
      <c r="U42" s="58"/>
      <c r="V42" s="59"/>
      <c r="W42" s="60"/>
      <c r="X42" s="61"/>
    </row>
    <row r="43" spans="1:24">
      <c r="J43" s="200">
        <f ca="1">TODAY()</f>
        <v>43825</v>
      </c>
      <c r="K43" s="41"/>
      <c r="M43" s="42"/>
      <c r="N43" s="41"/>
      <c r="O43" s="45" t="s">
        <v>81</v>
      </c>
      <c r="Q43" s="42"/>
      <c r="R43" s="45">
        <f>+R20+R23+R29+R28+R32</f>
        <v>754</v>
      </c>
      <c r="T43" s="5"/>
      <c r="U43" s="58"/>
      <c r="V43" s="59"/>
      <c r="W43" s="60"/>
      <c r="X43" s="65"/>
    </row>
    <row r="44" spans="1:24">
      <c r="L44" s="43"/>
      <c r="M44" s="44"/>
      <c r="N44" s="125"/>
      <c r="O44" s="43" t="s">
        <v>91</v>
      </c>
      <c r="P44" s="114"/>
      <c r="Q44" s="110" t="s">
        <v>58</v>
      </c>
      <c r="R44" s="111">
        <f>+R42-R43</f>
        <v>2982</v>
      </c>
      <c r="S44" s="109"/>
      <c r="T44" s="5"/>
      <c r="U44" s="58"/>
      <c r="V44" s="59"/>
      <c r="W44" s="62"/>
      <c r="X44" s="60"/>
    </row>
    <row r="45" spans="1:24" ht="3.95" customHeight="1">
      <c r="P45" s="19"/>
      <c r="U45" s="58"/>
      <c r="V45" s="59"/>
      <c r="W45" s="62"/>
      <c r="X45" s="60"/>
    </row>
    <row r="46" spans="1:24">
      <c r="I46" s="224" t="s">
        <v>199</v>
      </c>
      <c r="P46" s="19"/>
      <c r="U46" s="64"/>
      <c r="V46" s="59"/>
      <c r="W46" s="60"/>
      <c r="X46" s="68"/>
    </row>
    <row r="47" spans="1:24">
      <c r="I47" s="224" t="s">
        <v>200</v>
      </c>
      <c r="P47" s="19"/>
      <c r="U47" s="58"/>
      <c r="V47" s="66"/>
      <c r="W47" s="67"/>
      <c r="X47" s="69"/>
    </row>
    <row r="48" spans="1:24">
      <c r="I48" s="224" t="s">
        <v>201</v>
      </c>
      <c r="P48" s="19"/>
      <c r="U48" s="60"/>
      <c r="V48" s="59"/>
      <c r="W48" s="60"/>
      <c r="X48" s="60"/>
    </row>
    <row r="49" spans="9:24">
      <c r="I49" s="224" t="s">
        <v>202</v>
      </c>
      <c r="P49" s="19"/>
      <c r="U49" s="60"/>
      <c r="V49" s="59"/>
      <c r="W49" s="60"/>
      <c r="X49" s="60"/>
    </row>
    <row r="50" spans="9:24">
      <c r="I50" s="224" t="s">
        <v>203</v>
      </c>
      <c r="P50" s="19"/>
      <c r="U50" s="60"/>
      <c r="V50" s="59"/>
      <c r="W50" s="60"/>
      <c r="X50" s="60"/>
    </row>
    <row r="51" spans="9:24">
      <c r="I51" s="224" t="s">
        <v>204</v>
      </c>
      <c r="U51" s="60"/>
      <c r="V51" s="59"/>
      <c r="W51" s="60"/>
      <c r="X51" s="60"/>
    </row>
    <row r="52" spans="9:24">
      <c r="I52" s="224" t="s">
        <v>205</v>
      </c>
      <c r="P52" s="19"/>
      <c r="U52" s="60"/>
      <c r="V52" s="59"/>
      <c r="W52" s="60"/>
      <c r="X52" s="60"/>
    </row>
    <row r="53" spans="9:24" ht="3.95" customHeight="1">
      <c r="I53" s="224" t="s">
        <v>206</v>
      </c>
      <c r="P53" s="19"/>
      <c r="U53" s="60"/>
      <c r="V53" s="59"/>
      <c r="W53" s="60"/>
      <c r="X53" s="60"/>
    </row>
    <row r="54" spans="9:24">
      <c r="P54" s="19"/>
      <c r="U54" s="60"/>
      <c r="V54" s="59"/>
      <c r="W54" s="60"/>
      <c r="X54" s="60"/>
    </row>
    <row r="55" spans="9:24">
      <c r="U55" s="60"/>
      <c r="V55" s="59"/>
      <c r="W55" s="60"/>
      <c r="X55" s="60"/>
    </row>
  </sheetData>
  <mergeCells count="4">
    <mergeCell ref="I2:R2"/>
    <mergeCell ref="K3:N3"/>
    <mergeCell ref="O3:P3"/>
    <mergeCell ref="T3:V3"/>
  </mergeCells>
  <conditionalFormatting sqref="R5">
    <cfRule type="cellIs" dxfId="28" priority="4" operator="lessThanOrEqual">
      <formula>0</formula>
    </cfRule>
  </conditionalFormatting>
  <conditionalFormatting sqref="R40:R41 R5:R38">
    <cfRule type="cellIs" dxfId="27" priority="3" operator="greaterThan">
      <formula>0</formula>
    </cfRule>
  </conditionalFormatting>
  <printOptions horizontalCentered="1"/>
  <pageMargins left="0" right="0" top="0.83" bottom="0" header="0" footer="0"/>
  <pageSetup paperSize="9" scale="89" orientation="portrait" r:id="rId1"/>
  <ignoredErrors>
    <ignoredError sqref="L18:N19 N20 L24:N24" formula="1"/>
  </ignoredErrors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56"/>
  <sheetViews>
    <sheetView zoomScale="85" zoomScaleNormal="85" workbookViewId="0">
      <pane xSplit="10" ySplit="4" topLeftCell="K44" activePane="bottomRight" state="frozen"/>
      <selection pane="topRight" activeCell="K1" sqref="K1"/>
      <selection pane="bottomLeft" activeCell="A5" sqref="A5"/>
      <selection pane="bottomRight" activeCell="I50" sqref="I50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10.85546875" bestFit="1" customWidth="1"/>
    <col min="9" max="9" width="8.7109375" customWidth="1"/>
    <col min="10" max="10" width="32.7109375" bestFit="1" customWidth="1"/>
    <col min="11" max="12" width="3.7109375" customWidth="1"/>
    <col min="13" max="13" width="7" bestFit="1" customWidth="1"/>
    <col min="14" max="14" width="11.28515625" customWidth="1"/>
    <col min="15" max="15" width="7" bestFit="1" customWidth="1"/>
    <col min="16" max="16" width="11.42578125" customWidth="1"/>
    <col min="17" max="17" width="10.85546875" customWidth="1"/>
    <col min="18" max="18" width="13.85546875" customWidth="1"/>
    <col min="19" max="19" width="4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4" ht="5.0999999999999996" customHeight="1"/>
    <row r="2" spans="8:24">
      <c r="H2" s="83"/>
      <c r="I2" s="439" t="s">
        <v>188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4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4" ht="45">
      <c r="H4" s="83" t="s">
        <v>143</v>
      </c>
      <c r="I4" s="86" t="s">
        <v>7</v>
      </c>
      <c r="J4" s="86" t="s">
        <v>3</v>
      </c>
      <c r="K4" s="97"/>
      <c r="L4" s="98"/>
      <c r="M4" s="198" t="s">
        <v>15</v>
      </c>
      <c r="N4" s="198" t="s">
        <v>178</v>
      </c>
      <c r="O4" s="87" t="s">
        <v>15</v>
      </c>
      <c r="P4" s="87" t="s">
        <v>189</v>
      </c>
      <c r="Q4" s="99" t="s">
        <v>190</v>
      </c>
      <c r="R4" s="88" t="s">
        <v>103</v>
      </c>
      <c r="S4" s="140" t="s">
        <v>104</v>
      </c>
      <c r="T4" s="89"/>
      <c r="U4" s="83"/>
      <c r="V4" s="83"/>
    </row>
    <row r="5" spans="8:24">
      <c r="H5" s="83"/>
      <c r="I5" s="126" t="s">
        <v>5</v>
      </c>
      <c r="J5" s="80" t="s">
        <v>117</v>
      </c>
      <c r="K5" s="8"/>
      <c r="L5" s="54"/>
      <c r="M5" s="162"/>
      <c r="N5" s="163">
        <f>+M5*3</f>
        <v>0</v>
      </c>
      <c r="O5" s="76">
        <v>47</v>
      </c>
      <c r="P5" s="75">
        <f t="shared" ref="P5:P14" si="0">IF(O5&gt;25,150,(O5)*6)</f>
        <v>150</v>
      </c>
      <c r="Q5" s="50"/>
      <c r="R5" s="11">
        <f t="shared" ref="R5:R42" si="1">+L5+N5+P5+Q5</f>
        <v>150</v>
      </c>
      <c r="S5" s="106"/>
      <c r="T5" s="5"/>
      <c r="U5" s="92">
        <v>828</v>
      </c>
      <c r="V5" s="93">
        <v>107.64</v>
      </c>
      <c r="W5" s="94">
        <v>720.36</v>
      </c>
      <c r="X5" s="70" t="s">
        <v>36</v>
      </c>
    </row>
    <row r="6" spans="8:24">
      <c r="H6" s="83"/>
      <c r="I6" s="126" t="s">
        <v>82</v>
      </c>
      <c r="J6" s="80" t="s">
        <v>141</v>
      </c>
      <c r="K6" s="8"/>
      <c r="L6" s="54"/>
      <c r="M6" s="162"/>
      <c r="N6" s="163">
        <f>+M6*3</f>
        <v>0</v>
      </c>
      <c r="O6" s="76"/>
      <c r="P6" s="75">
        <f t="shared" si="0"/>
        <v>0</v>
      </c>
      <c r="Q6" s="50"/>
      <c r="R6" s="11">
        <f t="shared" si="1"/>
        <v>0</v>
      </c>
      <c r="S6" s="106"/>
      <c r="T6" s="5"/>
      <c r="U6" s="30">
        <f>+V6+W6</f>
        <v>827.58620689655174</v>
      </c>
      <c r="V6" s="71">
        <f>+V5*W6/W5</f>
        <v>107.58620689655173</v>
      </c>
      <c r="W6" s="31">
        <v>720</v>
      </c>
      <c r="X6" s="36"/>
    </row>
    <row r="7" spans="8:24">
      <c r="H7" s="83"/>
      <c r="I7" s="126" t="s">
        <v>64</v>
      </c>
      <c r="J7" s="80" t="s">
        <v>138</v>
      </c>
      <c r="K7" s="8"/>
      <c r="L7" s="54"/>
      <c r="M7" s="162"/>
      <c r="N7" s="163">
        <f>+M7*3</f>
        <v>0</v>
      </c>
      <c r="O7" s="76">
        <v>44</v>
      </c>
      <c r="P7" s="75">
        <f t="shared" si="0"/>
        <v>150</v>
      </c>
      <c r="Q7" s="50"/>
      <c r="R7" s="11">
        <f t="shared" si="1"/>
        <v>150</v>
      </c>
      <c r="S7" s="106"/>
      <c r="T7" s="5"/>
      <c r="U7" s="32">
        <f>+U5-U6</f>
        <v>0.41379310344825626</v>
      </c>
      <c r="V7" s="47"/>
      <c r="W7" s="33"/>
      <c r="X7" s="4" t="s">
        <v>59</v>
      </c>
    </row>
    <row r="8" spans="8:24">
      <c r="H8" s="83"/>
      <c r="I8" s="25" t="s">
        <v>2</v>
      </c>
      <c r="J8" s="81" t="s">
        <v>107</v>
      </c>
      <c r="K8" s="29"/>
      <c r="L8" s="55"/>
      <c r="M8" s="164"/>
      <c r="N8" s="163">
        <f>+M8*3</f>
        <v>0</v>
      </c>
      <c r="O8" s="74">
        <v>39</v>
      </c>
      <c r="P8" s="75">
        <f t="shared" si="0"/>
        <v>150</v>
      </c>
      <c r="Q8" s="50"/>
      <c r="R8" s="9">
        <f t="shared" si="1"/>
        <v>150</v>
      </c>
      <c r="S8" s="138"/>
      <c r="T8" s="5"/>
      <c r="U8" s="34">
        <v>150</v>
      </c>
      <c r="V8" s="38">
        <f>+U8-U7</f>
        <v>149.58620689655174</v>
      </c>
      <c r="W8" s="39" t="s">
        <v>63</v>
      </c>
      <c r="X8" s="6">
        <f>150-V8</f>
        <v>0.41379310344825626</v>
      </c>
    </row>
    <row r="9" spans="8:24">
      <c r="H9" s="95"/>
      <c r="I9" s="25" t="s">
        <v>42</v>
      </c>
      <c r="J9" s="81" t="s">
        <v>119</v>
      </c>
      <c r="K9" s="26"/>
      <c r="L9" s="27"/>
      <c r="M9" s="164"/>
      <c r="N9" s="163">
        <f>+M9*3</f>
        <v>0</v>
      </c>
      <c r="O9" s="28">
        <v>39</v>
      </c>
      <c r="P9" s="75">
        <f t="shared" si="0"/>
        <v>150</v>
      </c>
      <c r="Q9" s="49"/>
      <c r="R9" s="11">
        <f t="shared" si="1"/>
        <v>150</v>
      </c>
      <c r="S9" s="107"/>
      <c r="T9" s="5"/>
      <c r="U9" s="10"/>
      <c r="X9" s="37"/>
    </row>
    <row r="10" spans="8:24" ht="15" customHeight="1">
      <c r="H10" s="83"/>
      <c r="I10" s="25" t="s">
        <v>1</v>
      </c>
      <c r="J10" s="81" t="s">
        <v>106</v>
      </c>
      <c r="K10" s="29"/>
      <c r="L10" s="55"/>
      <c r="M10" s="164"/>
      <c r="N10" s="163">
        <f>3*M10</f>
        <v>0</v>
      </c>
      <c r="O10" s="74"/>
      <c r="P10" s="75">
        <f t="shared" si="0"/>
        <v>0</v>
      </c>
      <c r="Q10" s="50"/>
      <c r="R10" s="9">
        <f t="shared" si="1"/>
        <v>0</v>
      </c>
      <c r="S10" s="107"/>
      <c r="T10" s="5"/>
      <c r="U10" s="92">
        <v>856</v>
      </c>
      <c r="V10" s="93">
        <v>110.51</v>
      </c>
      <c r="W10" s="94">
        <v>745.49</v>
      </c>
      <c r="X10" s="70" t="s">
        <v>35</v>
      </c>
    </row>
    <row r="11" spans="8:24">
      <c r="H11" s="141"/>
      <c r="I11" s="126" t="s">
        <v>56</v>
      </c>
      <c r="J11" s="80" t="s">
        <v>136</v>
      </c>
      <c r="K11" s="8"/>
      <c r="L11" s="54"/>
      <c r="M11" s="162"/>
      <c r="N11" s="163">
        <v>0</v>
      </c>
      <c r="O11" s="74">
        <v>13</v>
      </c>
      <c r="P11" s="75">
        <f t="shared" si="0"/>
        <v>78</v>
      </c>
      <c r="Q11" s="50"/>
      <c r="R11" s="9">
        <f t="shared" si="1"/>
        <v>78</v>
      </c>
      <c r="S11" s="107"/>
      <c r="T11" s="5"/>
      <c r="U11" s="30">
        <f>+V11+W11</f>
        <v>826.7314115548163</v>
      </c>
      <c r="V11" s="71">
        <f>+V10*W11/W10</f>
        <v>106.73141155481629</v>
      </c>
      <c r="W11" s="31">
        <v>720</v>
      </c>
      <c r="X11" s="37"/>
    </row>
    <row r="12" spans="8:24">
      <c r="H12" s="95"/>
      <c r="I12" s="25" t="s">
        <v>16</v>
      </c>
      <c r="J12" s="81" t="s">
        <v>113</v>
      </c>
      <c r="K12" s="29"/>
      <c r="L12" s="54"/>
      <c r="M12" s="164"/>
      <c r="N12" s="163">
        <v>0</v>
      </c>
      <c r="O12" s="28">
        <v>28</v>
      </c>
      <c r="P12" s="75">
        <f t="shared" si="0"/>
        <v>150</v>
      </c>
      <c r="Q12" s="49"/>
      <c r="R12" s="9">
        <f t="shared" si="1"/>
        <v>150</v>
      </c>
      <c r="S12" s="106"/>
      <c r="T12" s="5"/>
      <c r="U12" s="32">
        <f>+U10-U11</f>
        <v>29.268588445183696</v>
      </c>
      <c r="V12" s="47"/>
      <c r="W12" s="33"/>
      <c r="X12" s="4" t="s">
        <v>59</v>
      </c>
    </row>
    <row r="13" spans="8:24">
      <c r="H13" s="83"/>
      <c r="I13" s="25" t="s">
        <v>92</v>
      </c>
      <c r="J13" s="81" t="s">
        <v>109</v>
      </c>
      <c r="K13" s="29"/>
      <c r="L13" s="55"/>
      <c r="M13" s="164"/>
      <c r="N13" s="163">
        <f>M13*3</f>
        <v>0</v>
      </c>
      <c r="O13" s="74"/>
      <c r="P13" s="75">
        <f t="shared" si="0"/>
        <v>0</v>
      </c>
      <c r="Q13" s="50"/>
      <c r="R13" s="9">
        <f t="shared" si="1"/>
        <v>0</v>
      </c>
      <c r="S13" s="107"/>
      <c r="T13" s="5"/>
      <c r="U13" s="34">
        <v>150</v>
      </c>
      <c r="V13" s="38">
        <f>+U13-U12</f>
        <v>120.7314115548163</v>
      </c>
      <c r="W13" s="39" t="s">
        <v>63</v>
      </c>
      <c r="X13" s="6">
        <f>150-V13</f>
        <v>29.268588445183696</v>
      </c>
    </row>
    <row r="14" spans="8:24">
      <c r="H14" s="95"/>
      <c r="I14" s="25" t="s">
        <v>20</v>
      </c>
      <c r="J14" s="81" t="s">
        <v>115</v>
      </c>
      <c r="K14" s="29"/>
      <c r="L14" s="27"/>
      <c r="M14" s="164"/>
      <c r="N14" s="163">
        <f>+M14*3</f>
        <v>0</v>
      </c>
      <c r="O14" s="28">
        <v>41</v>
      </c>
      <c r="P14" s="75">
        <f t="shared" si="0"/>
        <v>150</v>
      </c>
      <c r="Q14" s="49"/>
      <c r="R14" s="9">
        <f t="shared" si="1"/>
        <v>150</v>
      </c>
      <c r="S14" s="107"/>
      <c r="T14" s="5"/>
      <c r="U14" s="10"/>
      <c r="X14" s="37"/>
    </row>
    <row r="15" spans="8:24">
      <c r="H15" s="95"/>
      <c r="I15" s="25" t="s">
        <v>69</v>
      </c>
      <c r="J15" s="81" t="s">
        <v>162</v>
      </c>
      <c r="K15" s="26"/>
      <c r="L15" s="55"/>
      <c r="M15" s="164"/>
      <c r="N15" s="163">
        <v>0</v>
      </c>
      <c r="O15" s="28"/>
      <c r="P15" s="75"/>
      <c r="Q15" s="49"/>
      <c r="R15" s="11">
        <f t="shared" si="1"/>
        <v>0</v>
      </c>
      <c r="S15" s="107"/>
      <c r="T15" s="5"/>
      <c r="U15" s="92">
        <f>644+150</f>
        <v>794</v>
      </c>
      <c r="V15" s="93">
        <v>0</v>
      </c>
      <c r="W15" s="101">
        <v>769.08</v>
      </c>
      <c r="X15" s="100" t="s">
        <v>21</v>
      </c>
    </row>
    <row r="16" spans="8:24">
      <c r="H16" s="95"/>
      <c r="I16" s="25" t="s">
        <v>25</v>
      </c>
      <c r="J16" s="81" t="s">
        <v>118</v>
      </c>
      <c r="K16" s="26"/>
      <c r="L16" s="27"/>
      <c r="M16" s="164"/>
      <c r="N16" s="163">
        <f>+M16*3</f>
        <v>0</v>
      </c>
      <c r="O16" s="28">
        <v>30</v>
      </c>
      <c r="P16" s="75">
        <f t="shared" ref="P16:P26" si="2">IF(O16&gt;25,150,(O16)*6)</f>
        <v>150</v>
      </c>
      <c r="Q16" s="49"/>
      <c r="R16" s="11">
        <f t="shared" si="1"/>
        <v>150</v>
      </c>
      <c r="S16" s="107"/>
      <c r="T16" s="5"/>
      <c r="U16" s="30">
        <f>+V16+W16</f>
        <v>720</v>
      </c>
      <c r="V16" s="71">
        <f>+V15*W16/W15</f>
        <v>0</v>
      </c>
      <c r="W16" s="31">
        <v>720</v>
      </c>
      <c r="X16" s="37"/>
    </row>
    <row r="17" spans="1:24">
      <c r="H17" s="187" t="s">
        <v>164</v>
      </c>
      <c r="I17" s="188" t="s">
        <v>41</v>
      </c>
      <c r="J17" s="189" t="s">
        <v>112</v>
      </c>
      <c r="K17" s="190"/>
      <c r="L17" s="191"/>
      <c r="M17" s="192"/>
      <c r="N17" s="193">
        <f>+M17*3</f>
        <v>0</v>
      </c>
      <c r="O17" s="192">
        <v>41</v>
      </c>
      <c r="P17" s="193">
        <f t="shared" si="2"/>
        <v>150</v>
      </c>
      <c r="Q17" s="195">
        <v>-4</v>
      </c>
      <c r="R17" s="196">
        <f t="shared" si="1"/>
        <v>146</v>
      </c>
      <c r="S17" s="197"/>
      <c r="T17" s="5"/>
      <c r="U17" s="32">
        <f>+U15-U16</f>
        <v>74</v>
      </c>
      <c r="V17" s="47"/>
      <c r="W17" s="33"/>
      <c r="X17" s="4" t="s">
        <v>59</v>
      </c>
    </row>
    <row r="18" spans="1:24">
      <c r="H18" s="83"/>
      <c r="I18" s="126" t="s">
        <v>71</v>
      </c>
      <c r="J18" s="80" t="s">
        <v>139</v>
      </c>
      <c r="K18" s="8"/>
      <c r="L18" s="54"/>
      <c r="M18" s="162"/>
      <c r="N18" s="163">
        <f>5*M18</f>
        <v>0</v>
      </c>
      <c r="O18" s="76">
        <v>25</v>
      </c>
      <c r="P18" s="75">
        <f t="shared" si="2"/>
        <v>150</v>
      </c>
      <c r="Q18" s="50"/>
      <c r="R18" s="11">
        <f t="shared" si="1"/>
        <v>150</v>
      </c>
      <c r="S18" s="106"/>
      <c r="T18" s="5"/>
      <c r="U18" s="34">
        <v>150</v>
      </c>
      <c r="V18" s="38">
        <f>+U18-U17</f>
        <v>76</v>
      </c>
      <c r="W18" s="39" t="s">
        <v>63</v>
      </c>
      <c r="X18" s="6">
        <f>150-V18</f>
        <v>74</v>
      </c>
    </row>
    <row r="19" spans="1:24">
      <c r="H19" s="141"/>
      <c r="I19" s="25" t="s">
        <v>28</v>
      </c>
      <c r="J19" s="81" t="s">
        <v>122</v>
      </c>
      <c r="K19" s="29"/>
      <c r="L19" s="55"/>
      <c r="M19" s="164"/>
      <c r="N19" s="163">
        <f>+M19*3</f>
        <v>0</v>
      </c>
      <c r="O19" s="74">
        <v>37</v>
      </c>
      <c r="P19" s="75">
        <f t="shared" si="2"/>
        <v>150</v>
      </c>
      <c r="Q19" s="50"/>
      <c r="R19" s="9">
        <f t="shared" si="1"/>
        <v>150</v>
      </c>
      <c r="S19" s="107"/>
      <c r="T19" s="5"/>
      <c r="U19" s="10"/>
      <c r="X19" s="37"/>
    </row>
    <row r="20" spans="1:24">
      <c r="H20" s="201" t="s">
        <v>50</v>
      </c>
      <c r="I20" s="21" t="s">
        <v>10</v>
      </c>
      <c r="J20" s="20" t="s">
        <v>191</v>
      </c>
      <c r="K20" s="22"/>
      <c r="L20" s="56"/>
      <c r="M20" s="160"/>
      <c r="N20" s="161">
        <f>5*M20</f>
        <v>0</v>
      </c>
      <c r="O20" s="23"/>
      <c r="P20" s="24">
        <f t="shared" si="2"/>
        <v>0</v>
      </c>
      <c r="Q20" s="51"/>
      <c r="R20" s="24">
        <f t="shared" si="1"/>
        <v>0</v>
      </c>
      <c r="S20" s="107"/>
      <c r="T20" s="5"/>
      <c r="U20" s="58"/>
      <c r="V20" s="59"/>
      <c r="W20" s="60"/>
      <c r="X20" s="61"/>
    </row>
    <row r="21" spans="1:24">
      <c r="H21" s="142"/>
      <c r="I21" s="25" t="s">
        <v>4</v>
      </c>
      <c r="J21" s="81" t="s">
        <v>111</v>
      </c>
      <c r="K21" s="29"/>
      <c r="L21" s="27"/>
      <c r="M21" s="164"/>
      <c r="N21" s="163">
        <v>0</v>
      </c>
      <c r="O21" s="28">
        <v>38</v>
      </c>
      <c r="P21" s="75">
        <f t="shared" si="2"/>
        <v>150</v>
      </c>
      <c r="Q21" s="49"/>
      <c r="R21" s="11">
        <f t="shared" si="1"/>
        <v>150</v>
      </c>
      <c r="S21" s="107"/>
      <c r="T21" s="5"/>
      <c r="U21" s="103" t="s">
        <v>161</v>
      </c>
    </row>
    <row r="22" spans="1:24">
      <c r="H22" s="83"/>
      <c r="I22" s="25" t="s">
        <v>9</v>
      </c>
      <c r="J22" s="96" t="s">
        <v>128</v>
      </c>
      <c r="K22" s="35"/>
      <c r="L22" s="55"/>
      <c r="M22" s="164"/>
      <c r="N22" s="163">
        <f>+M22*3</f>
        <v>0</v>
      </c>
      <c r="O22" s="74"/>
      <c r="P22" s="75">
        <f t="shared" si="2"/>
        <v>0</v>
      </c>
      <c r="Q22" s="112"/>
      <c r="R22" s="11">
        <f t="shared" si="1"/>
        <v>0</v>
      </c>
      <c r="S22" s="107"/>
      <c r="T22" s="5"/>
      <c r="U22" s="176" t="s">
        <v>158</v>
      </c>
      <c r="V22" s="177" t="s">
        <v>159</v>
      </c>
      <c r="W22" s="178"/>
      <c r="X22" s="174" t="s">
        <v>157</v>
      </c>
    </row>
    <row r="23" spans="1:24">
      <c r="H23" s="83"/>
      <c r="I23" s="126" t="s">
        <v>51</v>
      </c>
      <c r="J23" s="82" t="s">
        <v>134</v>
      </c>
      <c r="K23" s="12"/>
      <c r="L23" s="54"/>
      <c r="M23" s="162"/>
      <c r="N23" s="163">
        <f>+M23*3</f>
        <v>0</v>
      </c>
      <c r="O23" s="76">
        <v>22</v>
      </c>
      <c r="P23" s="75">
        <f t="shared" si="2"/>
        <v>132</v>
      </c>
      <c r="Q23" s="49"/>
      <c r="R23" s="11">
        <f t="shared" si="1"/>
        <v>132</v>
      </c>
      <c r="S23" s="106"/>
      <c r="T23" s="5"/>
      <c r="U23" s="179">
        <v>43480</v>
      </c>
      <c r="V23" s="170">
        <v>1</v>
      </c>
      <c r="W23" s="180"/>
      <c r="X23" s="33" t="s">
        <v>156</v>
      </c>
    </row>
    <row r="24" spans="1:24">
      <c r="H24" s="83"/>
      <c r="I24" s="126" t="s">
        <v>61</v>
      </c>
      <c r="J24" s="80" t="s">
        <v>137</v>
      </c>
      <c r="K24" s="8"/>
      <c r="L24" s="54"/>
      <c r="M24" s="162"/>
      <c r="N24" s="163">
        <v>0</v>
      </c>
      <c r="O24" s="72"/>
      <c r="P24" s="75">
        <f t="shared" si="2"/>
        <v>0</v>
      </c>
      <c r="Q24" s="50"/>
      <c r="R24" s="11">
        <f t="shared" si="1"/>
        <v>0</v>
      </c>
      <c r="S24" s="106"/>
      <c r="T24" s="5"/>
      <c r="U24" s="179">
        <f>1+U23</f>
        <v>43481</v>
      </c>
      <c r="V24" s="170">
        <v>1</v>
      </c>
      <c r="W24" s="181"/>
      <c r="X24" s="33" t="s">
        <v>151</v>
      </c>
    </row>
    <row r="25" spans="1:24">
      <c r="H25" s="83"/>
      <c r="I25" s="25" t="s">
        <v>14</v>
      </c>
      <c r="J25" s="96" t="s">
        <v>125</v>
      </c>
      <c r="K25" s="29"/>
      <c r="L25" s="55"/>
      <c r="M25" s="164"/>
      <c r="N25" s="163">
        <f>+M25*3</f>
        <v>0</v>
      </c>
      <c r="O25" s="74"/>
      <c r="P25" s="75">
        <f t="shared" si="2"/>
        <v>0</v>
      </c>
      <c r="Q25" s="49"/>
      <c r="R25" s="11">
        <f t="shared" si="1"/>
        <v>0</v>
      </c>
      <c r="S25" s="107"/>
      <c r="T25" s="5"/>
      <c r="U25" s="179">
        <f>1+U24</f>
        <v>43482</v>
      </c>
      <c r="V25" s="170">
        <v>1</v>
      </c>
      <c r="W25" s="182"/>
      <c r="X25" s="33" t="s">
        <v>152</v>
      </c>
    </row>
    <row r="26" spans="1:24">
      <c r="H26" s="83"/>
      <c r="I26" s="126" t="s">
        <v>79</v>
      </c>
      <c r="J26" s="82" t="s">
        <v>110</v>
      </c>
      <c r="K26" s="8"/>
      <c r="L26" s="54"/>
      <c r="M26" s="164"/>
      <c r="N26" s="163">
        <v>0</v>
      </c>
      <c r="O26" s="76"/>
      <c r="P26" s="75">
        <f t="shared" si="2"/>
        <v>0</v>
      </c>
      <c r="Q26" s="50"/>
      <c r="R26" s="11">
        <f t="shared" si="1"/>
        <v>0</v>
      </c>
      <c r="S26" s="106"/>
      <c r="T26" s="5"/>
      <c r="U26" s="179">
        <f>1+U25</f>
        <v>43483</v>
      </c>
      <c r="V26" s="170">
        <v>1</v>
      </c>
      <c r="W26" s="181"/>
      <c r="X26" s="33" t="s">
        <v>153</v>
      </c>
    </row>
    <row r="27" spans="1:24">
      <c r="A27" s="4"/>
      <c r="B27" s="4"/>
      <c r="C27" s="4"/>
      <c r="D27" s="3"/>
      <c r="E27" s="4"/>
      <c r="F27" s="40"/>
      <c r="G27" s="4"/>
      <c r="H27" s="83"/>
      <c r="I27" s="25" t="s">
        <v>0</v>
      </c>
      <c r="J27" s="81" t="s">
        <v>108</v>
      </c>
      <c r="K27" s="29"/>
      <c r="L27" s="55"/>
      <c r="M27" s="164"/>
      <c r="N27" s="163">
        <f>+M27*5</f>
        <v>0</v>
      </c>
      <c r="O27" s="74"/>
      <c r="P27" s="75">
        <v>0</v>
      </c>
      <c r="Q27" s="50"/>
      <c r="R27" s="9">
        <f t="shared" si="1"/>
        <v>0</v>
      </c>
      <c r="S27" s="107"/>
      <c r="T27" s="5"/>
      <c r="U27" s="179">
        <f>1+U26</f>
        <v>43484</v>
      </c>
      <c r="V27" s="170">
        <v>0.5</v>
      </c>
      <c r="W27" s="183"/>
      <c r="X27" s="33" t="s">
        <v>154</v>
      </c>
    </row>
    <row r="28" spans="1:24">
      <c r="H28" s="83"/>
      <c r="I28" s="25" t="s">
        <v>45</v>
      </c>
      <c r="J28" s="81" t="s">
        <v>133</v>
      </c>
      <c r="K28" s="26"/>
      <c r="L28" s="55"/>
      <c r="M28" s="164"/>
      <c r="N28" s="163">
        <f>+M28*3</f>
        <v>0</v>
      </c>
      <c r="O28" s="74">
        <v>44</v>
      </c>
      <c r="P28" s="75">
        <f t="shared" ref="P28:P42" si="3">IF(O28&gt;25,150,(O28)*6)</f>
        <v>150</v>
      </c>
      <c r="Q28" s="49"/>
      <c r="R28" s="11">
        <f t="shared" si="1"/>
        <v>150</v>
      </c>
      <c r="S28" s="107"/>
      <c r="T28" s="5"/>
      <c r="U28" s="184"/>
      <c r="V28" s="170">
        <f>SUM(V23:V27)</f>
        <v>4.5</v>
      </c>
      <c r="W28" s="183" t="s">
        <v>148</v>
      </c>
      <c r="X28" s="175" t="s">
        <v>155</v>
      </c>
    </row>
    <row r="29" spans="1:24">
      <c r="H29" s="201" t="s">
        <v>50</v>
      </c>
      <c r="I29" s="21" t="s">
        <v>13</v>
      </c>
      <c r="J29" s="20" t="s">
        <v>121</v>
      </c>
      <c r="K29" s="22"/>
      <c r="L29" s="56"/>
      <c r="M29" s="160"/>
      <c r="N29" s="161">
        <v>0</v>
      </c>
      <c r="O29" s="23"/>
      <c r="P29" s="24">
        <f t="shared" si="3"/>
        <v>0</v>
      </c>
      <c r="Q29" s="51"/>
      <c r="R29" s="24">
        <f t="shared" si="1"/>
        <v>0</v>
      </c>
      <c r="S29" s="108"/>
      <c r="T29" s="5"/>
      <c r="U29" s="184"/>
      <c r="V29" s="171">
        <v>18</v>
      </c>
      <c r="W29" s="185" t="s">
        <v>149</v>
      </c>
      <c r="X29" s="61"/>
    </row>
    <row r="30" spans="1:24" ht="16.5">
      <c r="H30" s="83"/>
      <c r="I30" s="25" t="s">
        <v>31</v>
      </c>
      <c r="J30" s="81" t="s">
        <v>127</v>
      </c>
      <c r="K30" s="29"/>
      <c r="L30" s="55"/>
      <c r="M30" s="164"/>
      <c r="N30" s="163">
        <v>0</v>
      </c>
      <c r="O30" s="74">
        <v>38</v>
      </c>
      <c r="P30" s="75">
        <f t="shared" si="3"/>
        <v>150</v>
      </c>
      <c r="Q30" s="49"/>
      <c r="R30" s="11">
        <f t="shared" si="1"/>
        <v>150</v>
      </c>
      <c r="S30" s="107"/>
      <c r="T30" s="5"/>
      <c r="U30" s="186" t="s">
        <v>160</v>
      </c>
      <c r="V30" s="172">
        <f>+V29/V28</f>
        <v>4</v>
      </c>
      <c r="W30" s="173" t="s">
        <v>150</v>
      </c>
      <c r="X30" s="61"/>
    </row>
    <row r="31" spans="1:24">
      <c r="H31" s="83"/>
      <c r="I31" s="25" t="s">
        <v>30</v>
      </c>
      <c r="J31" s="81" t="s">
        <v>126</v>
      </c>
      <c r="K31" s="29"/>
      <c r="L31" s="55"/>
      <c r="M31" s="164"/>
      <c r="N31" s="163">
        <f>+M31*3</f>
        <v>0</v>
      </c>
      <c r="O31" s="28"/>
      <c r="P31" s="11">
        <f t="shared" si="3"/>
        <v>0</v>
      </c>
      <c r="Q31" s="49"/>
      <c r="R31" s="11">
        <f t="shared" si="1"/>
        <v>0</v>
      </c>
      <c r="S31" s="107"/>
      <c r="T31" s="5"/>
      <c r="U31" s="58"/>
      <c r="V31" s="59"/>
      <c r="W31" s="60"/>
      <c r="X31" s="65"/>
    </row>
    <row r="32" spans="1:24">
      <c r="H32" s="201" t="s">
        <v>50</v>
      </c>
      <c r="I32" s="202" t="s">
        <v>186</v>
      </c>
      <c r="J32" s="203" t="s">
        <v>187</v>
      </c>
      <c r="K32" s="190"/>
      <c r="L32" s="191"/>
      <c r="M32" s="192"/>
      <c r="N32" s="193">
        <v>0</v>
      </c>
      <c r="O32" s="192">
        <v>29</v>
      </c>
      <c r="P32" s="193">
        <f t="shared" si="3"/>
        <v>150</v>
      </c>
      <c r="Q32" s="195"/>
      <c r="R32" s="193">
        <f t="shared" si="1"/>
        <v>150</v>
      </c>
      <c r="S32" s="108"/>
      <c r="T32" s="5"/>
      <c r="U32" s="58"/>
      <c r="V32" s="66"/>
      <c r="W32" s="67"/>
      <c r="X32" s="66"/>
    </row>
    <row r="33" spans="1:24" s="4" customFormat="1">
      <c r="A33"/>
      <c r="B33"/>
      <c r="C33"/>
      <c r="D33" s="1"/>
      <c r="E33"/>
      <c r="F33" s="2"/>
      <c r="G33"/>
      <c r="H33" s="83"/>
      <c r="I33" s="25" t="s">
        <v>17</v>
      </c>
      <c r="J33" s="81" t="s">
        <v>123</v>
      </c>
      <c r="K33" s="26"/>
      <c r="L33" s="55"/>
      <c r="M33" s="164"/>
      <c r="N33" s="163">
        <f>+M33*3</f>
        <v>0</v>
      </c>
      <c r="O33" s="74">
        <v>35</v>
      </c>
      <c r="P33" s="75">
        <f t="shared" si="3"/>
        <v>150</v>
      </c>
      <c r="Q33" s="49"/>
      <c r="R33" s="11">
        <f t="shared" si="1"/>
        <v>150</v>
      </c>
      <c r="S33" s="107"/>
      <c r="T33" s="5"/>
      <c r="U33" s="64"/>
      <c r="V33" s="59"/>
      <c r="W33" s="60"/>
      <c r="X33" s="68"/>
    </row>
    <row r="34" spans="1:24">
      <c r="H34" s="83"/>
      <c r="I34" s="25" t="s">
        <v>60</v>
      </c>
      <c r="J34" s="81" t="s">
        <v>132</v>
      </c>
      <c r="K34" s="26"/>
      <c r="L34" s="55"/>
      <c r="M34" s="164"/>
      <c r="N34" s="163">
        <v>0</v>
      </c>
      <c r="O34" s="74"/>
      <c r="P34" s="75">
        <f t="shared" si="3"/>
        <v>0</v>
      </c>
      <c r="Q34" s="49"/>
      <c r="R34" s="11">
        <f t="shared" si="1"/>
        <v>0</v>
      </c>
      <c r="S34" s="107"/>
      <c r="T34" s="5"/>
      <c r="U34" s="58"/>
      <c r="V34" s="59"/>
      <c r="W34" s="67"/>
      <c r="X34" s="69"/>
    </row>
    <row r="35" spans="1:24">
      <c r="H35" s="142"/>
      <c r="I35" s="25" t="s">
        <v>8</v>
      </c>
      <c r="J35" s="81" t="s">
        <v>120</v>
      </c>
      <c r="K35" s="29"/>
      <c r="L35" s="27"/>
      <c r="M35" s="164"/>
      <c r="N35" s="163">
        <v>0</v>
      </c>
      <c r="O35" s="28">
        <v>39</v>
      </c>
      <c r="P35" s="75">
        <f t="shared" si="3"/>
        <v>150</v>
      </c>
      <c r="Q35" s="49"/>
      <c r="R35" s="57">
        <f t="shared" si="1"/>
        <v>150</v>
      </c>
      <c r="S35" s="107"/>
      <c r="T35" s="5"/>
      <c r="U35" s="58"/>
      <c r="V35" s="59">
        <v>836</v>
      </c>
      <c r="W35" s="60"/>
      <c r="X35" s="65"/>
    </row>
    <row r="36" spans="1:24">
      <c r="H36" s="83"/>
      <c r="I36" s="25" t="s">
        <v>11</v>
      </c>
      <c r="J36" s="96" t="s">
        <v>130</v>
      </c>
      <c r="K36" s="35"/>
      <c r="L36" s="55"/>
      <c r="M36" s="164"/>
      <c r="N36" s="163">
        <f>+M36*3</f>
        <v>0</v>
      </c>
      <c r="O36" s="74">
        <v>40</v>
      </c>
      <c r="P36" s="75">
        <f t="shared" si="3"/>
        <v>150</v>
      </c>
      <c r="Q36" s="112"/>
      <c r="R36" s="11">
        <f t="shared" si="1"/>
        <v>150</v>
      </c>
      <c r="S36" s="107"/>
      <c r="T36" s="5"/>
      <c r="U36" s="58"/>
      <c r="V36" s="59">
        <v>36</v>
      </c>
      <c r="W36" s="60"/>
      <c r="X36" s="61"/>
    </row>
    <row r="37" spans="1:24">
      <c r="H37" s="83"/>
      <c r="I37" s="25" t="s">
        <v>48</v>
      </c>
      <c r="J37" s="81" t="s">
        <v>131</v>
      </c>
      <c r="K37" s="26"/>
      <c r="L37" s="55"/>
      <c r="M37" s="164"/>
      <c r="N37" s="163">
        <f>+M37*3</f>
        <v>0</v>
      </c>
      <c r="O37" s="74"/>
      <c r="P37" s="75">
        <f t="shared" si="3"/>
        <v>0</v>
      </c>
      <c r="Q37" s="49"/>
      <c r="R37" s="11">
        <f t="shared" si="1"/>
        <v>0</v>
      </c>
      <c r="S37" s="107"/>
      <c r="T37" s="5"/>
      <c r="U37" s="58"/>
      <c r="V37" s="59">
        <f>+V36*V35</f>
        <v>30096</v>
      </c>
      <c r="W37" s="62"/>
      <c r="X37" s="63"/>
    </row>
    <row r="38" spans="1:24">
      <c r="H38" s="144"/>
      <c r="I38" s="25" t="s">
        <v>84</v>
      </c>
      <c r="J38" s="96" t="s">
        <v>142</v>
      </c>
      <c r="K38" s="145"/>
      <c r="L38" s="55"/>
      <c r="M38" s="164"/>
      <c r="N38" s="163">
        <v>0</v>
      </c>
      <c r="O38" s="28"/>
      <c r="P38" s="11">
        <f t="shared" si="3"/>
        <v>0</v>
      </c>
      <c r="Q38" s="112"/>
      <c r="R38" s="11">
        <f t="shared" si="1"/>
        <v>0</v>
      </c>
      <c r="S38" s="107"/>
      <c r="T38" s="5"/>
      <c r="U38" s="58"/>
      <c r="V38" s="59">
        <f>+V37/3.33</f>
        <v>9037.8378378378384</v>
      </c>
      <c r="W38" s="67"/>
      <c r="X38" s="66"/>
    </row>
    <row r="39" spans="1:24">
      <c r="H39" s="83"/>
      <c r="I39" s="25" t="s">
        <v>44</v>
      </c>
      <c r="J39" s="96" t="s">
        <v>124</v>
      </c>
      <c r="K39" s="29"/>
      <c r="L39" s="55"/>
      <c r="M39" s="164"/>
      <c r="N39" s="163">
        <f>+M39*3</f>
        <v>0</v>
      </c>
      <c r="O39" s="113"/>
      <c r="P39" s="75">
        <f t="shared" si="3"/>
        <v>0</v>
      </c>
      <c r="Q39" s="49"/>
      <c r="R39" s="11">
        <f t="shared" si="1"/>
        <v>0</v>
      </c>
      <c r="S39" s="107"/>
      <c r="T39" s="5"/>
      <c r="U39" s="58"/>
      <c r="V39" s="66"/>
      <c r="W39" s="67"/>
      <c r="X39" s="66"/>
    </row>
    <row r="40" spans="1:24">
      <c r="H40" s="81"/>
      <c r="I40" s="25" t="s">
        <v>6</v>
      </c>
      <c r="J40" s="81" t="s">
        <v>116</v>
      </c>
      <c r="K40" s="29"/>
      <c r="L40" s="27"/>
      <c r="M40" s="164"/>
      <c r="N40" s="163">
        <f>+M40*3</f>
        <v>0</v>
      </c>
      <c r="O40" s="28"/>
      <c r="P40" s="75">
        <f t="shared" si="3"/>
        <v>0</v>
      </c>
      <c r="Q40" s="49"/>
      <c r="R40" s="57">
        <f t="shared" si="1"/>
        <v>0</v>
      </c>
      <c r="S40" s="107"/>
      <c r="T40" s="5"/>
      <c r="U40" s="58"/>
      <c r="V40" s="59"/>
      <c r="W40" s="60"/>
      <c r="X40" s="65"/>
    </row>
    <row r="41" spans="1:24">
      <c r="H41" s="187" t="s">
        <v>164</v>
      </c>
      <c r="I41" s="188" t="s">
        <v>53</v>
      </c>
      <c r="J41" s="189" t="s">
        <v>135</v>
      </c>
      <c r="K41" s="190"/>
      <c r="L41" s="191"/>
      <c r="M41" s="192"/>
      <c r="N41" s="193">
        <v>0</v>
      </c>
      <c r="O41" s="192">
        <v>36</v>
      </c>
      <c r="P41" s="193">
        <f t="shared" si="3"/>
        <v>150</v>
      </c>
      <c r="Q41" s="195"/>
      <c r="R41" s="196">
        <f t="shared" si="1"/>
        <v>150</v>
      </c>
      <c r="S41" s="197"/>
      <c r="T41" s="5"/>
      <c r="U41" s="58"/>
      <c r="V41" s="59"/>
      <c r="W41" s="60"/>
      <c r="X41" s="65"/>
    </row>
    <row r="42" spans="1:24">
      <c r="H42" s="81"/>
      <c r="I42" s="120" t="s">
        <v>12</v>
      </c>
      <c r="J42" s="150" t="s">
        <v>114</v>
      </c>
      <c r="K42" s="151"/>
      <c r="L42" s="146"/>
      <c r="M42" s="165"/>
      <c r="N42" s="166">
        <v>0</v>
      </c>
      <c r="O42" s="122">
        <v>41</v>
      </c>
      <c r="P42" s="147">
        <f t="shared" si="3"/>
        <v>150</v>
      </c>
      <c r="Q42" s="153"/>
      <c r="R42" s="124">
        <f t="shared" si="1"/>
        <v>150</v>
      </c>
      <c r="S42" s="148"/>
      <c r="T42" s="5"/>
      <c r="U42" s="58"/>
      <c r="V42" s="59"/>
      <c r="W42" s="60"/>
      <c r="X42" s="61"/>
    </row>
    <row r="43" spans="1:24">
      <c r="I43" s="13"/>
      <c r="J43" s="14"/>
      <c r="K43" s="17">
        <f t="shared" ref="K43:S43" si="4">SUM(K5:K42)</f>
        <v>0</v>
      </c>
      <c r="L43" s="18">
        <f t="shared" si="4"/>
        <v>0</v>
      </c>
      <c r="M43" s="167">
        <f t="shared" si="4"/>
        <v>0</v>
      </c>
      <c r="N43" s="168">
        <f t="shared" si="4"/>
        <v>0</v>
      </c>
      <c r="O43" s="77">
        <f t="shared" si="4"/>
        <v>746</v>
      </c>
      <c r="P43" s="78">
        <f t="shared" si="4"/>
        <v>3060</v>
      </c>
      <c r="Q43" s="16">
        <f t="shared" si="4"/>
        <v>-4</v>
      </c>
      <c r="R43" s="78">
        <f t="shared" si="4"/>
        <v>3056</v>
      </c>
      <c r="S43" s="102">
        <f t="shared" si="4"/>
        <v>0</v>
      </c>
      <c r="T43" s="5"/>
      <c r="U43" s="58"/>
      <c r="V43" s="59"/>
      <c r="W43" s="60"/>
      <c r="X43" s="61"/>
    </row>
    <row r="44" spans="1:24">
      <c r="J44" s="200">
        <f ca="1">TODAY()</f>
        <v>43825</v>
      </c>
      <c r="K44" s="41"/>
      <c r="M44" s="42"/>
      <c r="N44" s="41"/>
      <c r="O44" s="45" t="s">
        <v>81</v>
      </c>
      <c r="Q44" s="42"/>
      <c r="R44" s="45">
        <f>+R17+R29+R41+R32</f>
        <v>446</v>
      </c>
      <c r="T44" s="5"/>
      <c r="U44" s="58"/>
      <c r="V44" s="59"/>
      <c r="W44" s="60"/>
      <c r="X44" s="65"/>
    </row>
    <row r="45" spans="1:24">
      <c r="L45" s="43"/>
      <c r="M45" s="44"/>
      <c r="N45" s="125"/>
      <c r="O45" s="43" t="s">
        <v>91</v>
      </c>
      <c r="P45" s="114"/>
      <c r="Q45" s="110" t="s">
        <v>58</v>
      </c>
      <c r="R45" s="111">
        <f>+R43-R44</f>
        <v>2610</v>
      </c>
      <c r="S45" s="109"/>
      <c r="T45" s="5"/>
      <c r="U45" s="58"/>
      <c r="V45" s="59"/>
      <c r="W45" s="62"/>
      <c r="X45" s="60"/>
    </row>
    <row r="46" spans="1:24">
      <c r="P46" s="19"/>
      <c r="U46" s="58"/>
      <c r="V46" s="59"/>
      <c r="W46" s="62"/>
      <c r="X46" s="60"/>
    </row>
    <row r="47" spans="1:24">
      <c r="I47" s="123" t="s">
        <v>86</v>
      </c>
      <c r="P47" s="19"/>
      <c r="U47" s="64"/>
      <c r="V47" s="59"/>
      <c r="W47" s="60"/>
      <c r="X47" s="68"/>
    </row>
    <row r="48" spans="1:24">
      <c r="I48" s="123" t="s">
        <v>87</v>
      </c>
      <c r="P48" s="19"/>
      <c r="U48" s="58"/>
      <c r="V48" s="66"/>
      <c r="W48" s="67"/>
      <c r="X48" s="69"/>
    </row>
    <row r="49" spans="9:24">
      <c r="I49" s="123" t="s">
        <v>88</v>
      </c>
      <c r="P49" s="19"/>
      <c r="U49" s="60"/>
      <c r="V49" s="59"/>
      <c r="W49" s="60"/>
      <c r="X49" s="60"/>
    </row>
    <row r="50" spans="9:24">
      <c r="I50" s="123" t="s">
        <v>89</v>
      </c>
      <c r="P50" s="19"/>
      <c r="U50" s="60"/>
      <c r="V50" s="59"/>
      <c r="W50" s="60"/>
      <c r="X50" s="60"/>
    </row>
    <row r="51" spans="9:24">
      <c r="I51" s="123" t="s">
        <v>90</v>
      </c>
      <c r="P51" s="19"/>
      <c r="U51" s="60"/>
      <c r="V51" s="59"/>
      <c r="W51" s="60"/>
      <c r="X51" s="60"/>
    </row>
    <row r="52" spans="9:24">
      <c r="U52" s="60"/>
      <c r="V52" s="59"/>
      <c r="W52" s="60"/>
      <c r="X52" s="60"/>
    </row>
    <row r="53" spans="9:24">
      <c r="P53" s="19"/>
      <c r="U53" s="60"/>
      <c r="V53" s="59"/>
      <c r="W53" s="60"/>
      <c r="X53" s="60"/>
    </row>
    <row r="54" spans="9:24">
      <c r="P54" s="19"/>
      <c r="U54" s="60"/>
      <c r="V54" s="59"/>
      <c r="W54" s="60"/>
      <c r="X54" s="60"/>
    </row>
    <row r="55" spans="9:24">
      <c r="P55" s="19"/>
      <c r="U55" s="60"/>
      <c r="V55" s="59"/>
      <c r="W55" s="60"/>
      <c r="X55" s="60"/>
    </row>
    <row r="56" spans="9:24">
      <c r="U56" s="60"/>
      <c r="V56" s="59"/>
      <c r="W56" s="60"/>
      <c r="X56" s="60"/>
    </row>
  </sheetData>
  <mergeCells count="4">
    <mergeCell ref="I2:R2"/>
    <mergeCell ref="K3:N3"/>
    <mergeCell ref="O3:P3"/>
    <mergeCell ref="T3:V3"/>
  </mergeCells>
  <conditionalFormatting sqref="R5">
    <cfRule type="cellIs" dxfId="26" priority="2" operator="lessThanOrEqual">
      <formula>0</formula>
    </cfRule>
  </conditionalFormatting>
  <conditionalFormatting sqref="R41:R42 R5:R39">
    <cfRule type="cellIs" dxfId="25" priority="1" operator="greaterThan">
      <formula>0</formula>
    </cfRule>
  </conditionalFormatting>
  <printOptions horizontalCentered="1"/>
  <pageMargins left="0" right="0" top="0.83" bottom="0" header="0" footer="0"/>
  <pageSetup paperSize="9" scale="80" orientation="portrait" r:id="rId1"/>
  <ignoredErrors>
    <ignoredError sqref="N18" formula="1"/>
  </ignoredErrors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56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U33" sqref="U33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10.85546875" bestFit="1" customWidth="1"/>
    <col min="9" max="9" width="8.7109375" customWidth="1"/>
    <col min="10" max="10" width="24.140625" customWidth="1"/>
    <col min="11" max="12" width="3.7109375" customWidth="1"/>
    <col min="13" max="13" width="7" bestFit="1" customWidth="1"/>
    <col min="14" max="14" width="11.28515625" customWidth="1"/>
    <col min="15" max="15" width="7" bestFit="1" customWidth="1"/>
    <col min="16" max="16" width="11.42578125" customWidth="1"/>
    <col min="17" max="17" width="10.85546875" customWidth="1"/>
    <col min="18" max="18" width="13.85546875" customWidth="1"/>
    <col min="19" max="19" width="4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4" ht="5.0999999999999996" customHeight="1"/>
    <row r="2" spans="8:24">
      <c r="H2" s="83"/>
      <c r="I2" s="439" t="s">
        <v>183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4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4" ht="45">
      <c r="H4" s="83" t="s">
        <v>143</v>
      </c>
      <c r="I4" s="86" t="s">
        <v>7</v>
      </c>
      <c r="J4" s="86" t="s">
        <v>3</v>
      </c>
      <c r="K4" s="97"/>
      <c r="L4" s="98"/>
      <c r="M4" s="198" t="s">
        <v>15</v>
      </c>
      <c r="N4" s="198" t="s">
        <v>178</v>
      </c>
      <c r="O4" s="87" t="s">
        <v>15</v>
      </c>
      <c r="P4" s="87" t="s">
        <v>184</v>
      </c>
      <c r="Q4" s="99" t="s">
        <v>185</v>
      </c>
      <c r="R4" s="88" t="s">
        <v>103</v>
      </c>
      <c r="S4" s="140" t="s">
        <v>104</v>
      </c>
      <c r="T4" s="89"/>
      <c r="U4" s="83"/>
      <c r="V4" s="83"/>
    </row>
    <row r="5" spans="8:24">
      <c r="H5" s="83"/>
      <c r="I5" s="126" t="s">
        <v>5</v>
      </c>
      <c r="J5" s="80" t="s">
        <v>117</v>
      </c>
      <c r="K5" s="8"/>
      <c r="L5" s="54"/>
      <c r="M5" s="162"/>
      <c r="N5" s="163">
        <f>+M5*3</f>
        <v>0</v>
      </c>
      <c r="O5" s="76">
        <v>32</v>
      </c>
      <c r="P5" s="75">
        <f t="shared" ref="P5:P14" si="0">IF(O5&gt;25,150,(O5)*6)</f>
        <v>150</v>
      </c>
      <c r="Q5" s="50"/>
      <c r="R5" s="11">
        <f t="shared" ref="R5:R42" si="1">+L5+N5+P5+Q5</f>
        <v>150</v>
      </c>
      <c r="S5" s="106"/>
      <c r="T5" s="5"/>
      <c r="U5" s="92">
        <v>828</v>
      </c>
      <c r="V5" s="93">
        <v>107.64</v>
      </c>
      <c r="W5" s="94">
        <v>720.36</v>
      </c>
      <c r="X5" s="70" t="s">
        <v>36</v>
      </c>
    </row>
    <row r="6" spans="8:24">
      <c r="H6" s="83"/>
      <c r="I6" s="126" t="s">
        <v>82</v>
      </c>
      <c r="J6" s="80" t="s">
        <v>141</v>
      </c>
      <c r="K6" s="8"/>
      <c r="L6" s="54"/>
      <c r="M6" s="162"/>
      <c r="N6" s="163">
        <f>+M6*3</f>
        <v>0</v>
      </c>
      <c r="O6" s="76"/>
      <c r="P6" s="75">
        <f t="shared" si="0"/>
        <v>0</v>
      </c>
      <c r="Q6" s="50"/>
      <c r="R6" s="11">
        <f t="shared" si="1"/>
        <v>0</v>
      </c>
      <c r="S6" s="106"/>
      <c r="T6" s="5"/>
      <c r="U6" s="30">
        <f>+V6+W6</f>
        <v>827.58620689655174</v>
      </c>
      <c r="V6" s="71">
        <f>+V5*W6/W5</f>
        <v>107.58620689655173</v>
      </c>
      <c r="W6" s="31">
        <v>720</v>
      </c>
      <c r="X6" s="36"/>
    </row>
    <row r="7" spans="8:24">
      <c r="H7" s="83"/>
      <c r="I7" s="126" t="s">
        <v>64</v>
      </c>
      <c r="J7" s="80" t="s">
        <v>138</v>
      </c>
      <c r="K7" s="8"/>
      <c r="L7" s="54"/>
      <c r="M7" s="162"/>
      <c r="N7" s="163">
        <f>+M7*3</f>
        <v>0</v>
      </c>
      <c r="O7" s="76">
        <v>30</v>
      </c>
      <c r="P7" s="75">
        <f t="shared" si="0"/>
        <v>150</v>
      </c>
      <c r="Q7" s="50"/>
      <c r="R7" s="11">
        <f t="shared" si="1"/>
        <v>150</v>
      </c>
      <c r="S7" s="106"/>
      <c r="T7" s="5"/>
      <c r="U7" s="32">
        <f>+U5-U6</f>
        <v>0.41379310344825626</v>
      </c>
      <c r="V7" s="47"/>
      <c r="W7" s="33"/>
      <c r="X7" s="4" t="s">
        <v>59</v>
      </c>
    </row>
    <row r="8" spans="8:24">
      <c r="H8" s="83"/>
      <c r="I8" s="25" t="s">
        <v>2</v>
      </c>
      <c r="J8" s="81" t="s">
        <v>107</v>
      </c>
      <c r="K8" s="29"/>
      <c r="L8" s="55"/>
      <c r="M8" s="164"/>
      <c r="N8" s="163">
        <f>+M8*3</f>
        <v>0</v>
      </c>
      <c r="O8" s="74"/>
      <c r="P8" s="75">
        <f t="shared" si="0"/>
        <v>0</v>
      </c>
      <c r="Q8" s="50"/>
      <c r="R8" s="9">
        <f t="shared" si="1"/>
        <v>0</v>
      </c>
      <c r="S8" s="138"/>
      <c r="T8" s="5"/>
      <c r="U8" s="34">
        <v>150</v>
      </c>
      <c r="V8" s="38">
        <f>+U8-U7</f>
        <v>149.58620689655174</v>
      </c>
      <c r="W8" s="39" t="s">
        <v>63</v>
      </c>
      <c r="X8" s="6">
        <f>150-V8</f>
        <v>0.41379310344825626</v>
      </c>
    </row>
    <row r="9" spans="8:24">
      <c r="H9" s="95"/>
      <c r="I9" s="25" t="s">
        <v>42</v>
      </c>
      <c r="J9" s="81" t="s">
        <v>119</v>
      </c>
      <c r="K9" s="26"/>
      <c r="L9" s="27"/>
      <c r="M9" s="164"/>
      <c r="N9" s="163">
        <f>+M9*3</f>
        <v>0</v>
      </c>
      <c r="O9" s="28">
        <v>26</v>
      </c>
      <c r="P9" s="75">
        <f t="shared" si="0"/>
        <v>150</v>
      </c>
      <c r="Q9" s="49"/>
      <c r="R9" s="11">
        <f t="shared" si="1"/>
        <v>150</v>
      </c>
      <c r="S9" s="107"/>
      <c r="T9" s="5"/>
      <c r="U9" s="10"/>
      <c r="X9" s="37"/>
    </row>
    <row r="10" spans="8:24" ht="15" customHeight="1">
      <c r="H10" s="83"/>
      <c r="I10" s="25" t="s">
        <v>1</v>
      </c>
      <c r="J10" s="81" t="s">
        <v>106</v>
      </c>
      <c r="K10" s="29"/>
      <c r="L10" s="55"/>
      <c r="M10" s="164"/>
      <c r="N10" s="163">
        <f>3*M10</f>
        <v>0</v>
      </c>
      <c r="O10" s="74">
        <v>27</v>
      </c>
      <c r="P10" s="75">
        <f t="shared" si="0"/>
        <v>150</v>
      </c>
      <c r="Q10" s="50"/>
      <c r="R10" s="9">
        <f t="shared" si="1"/>
        <v>150</v>
      </c>
      <c r="S10" s="107"/>
      <c r="T10" s="5"/>
      <c r="U10" s="92">
        <v>856</v>
      </c>
      <c r="V10" s="93">
        <v>110.51</v>
      </c>
      <c r="W10" s="94">
        <v>745.49</v>
      </c>
      <c r="X10" s="70" t="s">
        <v>35</v>
      </c>
    </row>
    <row r="11" spans="8:24">
      <c r="H11" s="141"/>
      <c r="I11" s="126" t="s">
        <v>56</v>
      </c>
      <c r="J11" s="80" t="s">
        <v>136</v>
      </c>
      <c r="K11" s="8"/>
      <c r="L11" s="54"/>
      <c r="M11" s="162"/>
      <c r="N11" s="163">
        <v>0</v>
      </c>
      <c r="O11" s="74">
        <v>9</v>
      </c>
      <c r="P11" s="75">
        <f t="shared" si="0"/>
        <v>54</v>
      </c>
      <c r="Q11" s="50"/>
      <c r="R11" s="9">
        <f t="shared" si="1"/>
        <v>54</v>
      </c>
      <c r="S11" s="107"/>
      <c r="T11" s="5"/>
      <c r="U11" s="30">
        <f>+V11+W11</f>
        <v>826.7314115548163</v>
      </c>
      <c r="V11" s="71">
        <f>+V10*W11/W10</f>
        <v>106.73141155481629</v>
      </c>
      <c r="W11" s="31">
        <v>720</v>
      </c>
      <c r="X11" s="37"/>
    </row>
    <row r="12" spans="8:24">
      <c r="H12" s="95"/>
      <c r="I12" s="25" t="s">
        <v>16</v>
      </c>
      <c r="J12" s="81" t="s">
        <v>113</v>
      </c>
      <c r="K12" s="29"/>
      <c r="L12" s="54"/>
      <c r="M12" s="164"/>
      <c r="N12" s="163">
        <v>0</v>
      </c>
      <c r="O12" s="28">
        <v>28</v>
      </c>
      <c r="P12" s="75">
        <f t="shared" si="0"/>
        <v>150</v>
      </c>
      <c r="Q12" s="49"/>
      <c r="R12" s="9">
        <f t="shared" si="1"/>
        <v>150</v>
      </c>
      <c r="S12" s="106"/>
      <c r="T12" s="5"/>
      <c r="U12" s="32">
        <f>+U10-U11</f>
        <v>29.268588445183696</v>
      </c>
      <c r="V12" s="47"/>
      <c r="W12" s="33"/>
      <c r="X12" s="4" t="s">
        <v>59</v>
      </c>
    </row>
    <row r="13" spans="8:24">
      <c r="H13" s="83"/>
      <c r="I13" s="25" t="s">
        <v>92</v>
      </c>
      <c r="J13" s="81" t="s">
        <v>109</v>
      </c>
      <c r="K13" s="29"/>
      <c r="L13" s="55"/>
      <c r="M13" s="164"/>
      <c r="N13" s="163">
        <f>M13*3</f>
        <v>0</v>
      </c>
      <c r="O13" s="74">
        <v>5</v>
      </c>
      <c r="P13" s="75">
        <f t="shared" si="0"/>
        <v>30</v>
      </c>
      <c r="Q13" s="50"/>
      <c r="R13" s="9">
        <f t="shared" si="1"/>
        <v>30</v>
      </c>
      <c r="S13" s="107"/>
      <c r="T13" s="5"/>
      <c r="U13" s="34">
        <v>150</v>
      </c>
      <c r="V13" s="38">
        <f>+U13-U12</f>
        <v>120.7314115548163</v>
      </c>
      <c r="W13" s="39" t="s">
        <v>63</v>
      </c>
      <c r="X13" s="6">
        <f>150-V13</f>
        <v>29.268588445183696</v>
      </c>
    </row>
    <row r="14" spans="8:24">
      <c r="H14" s="95"/>
      <c r="I14" s="25" t="s">
        <v>20</v>
      </c>
      <c r="J14" s="81" t="s">
        <v>115</v>
      </c>
      <c r="K14" s="29"/>
      <c r="L14" s="27"/>
      <c r="M14" s="164"/>
      <c r="N14" s="163">
        <f>+M14*3</f>
        <v>0</v>
      </c>
      <c r="O14" s="28">
        <v>39</v>
      </c>
      <c r="P14" s="75">
        <f t="shared" si="0"/>
        <v>150</v>
      </c>
      <c r="Q14" s="49"/>
      <c r="R14" s="9">
        <f t="shared" si="1"/>
        <v>150</v>
      </c>
      <c r="S14" s="107"/>
      <c r="T14" s="5"/>
      <c r="U14" s="10"/>
      <c r="X14" s="37"/>
    </row>
    <row r="15" spans="8:24">
      <c r="H15" s="95"/>
      <c r="I15" s="25" t="s">
        <v>69</v>
      </c>
      <c r="J15" s="81" t="s">
        <v>162</v>
      </c>
      <c r="K15" s="26"/>
      <c r="L15" s="55"/>
      <c r="M15" s="164"/>
      <c r="N15" s="163">
        <v>0</v>
      </c>
      <c r="O15" s="28"/>
      <c r="P15" s="75"/>
      <c r="Q15" s="49"/>
      <c r="R15" s="11">
        <f t="shared" si="1"/>
        <v>0</v>
      </c>
      <c r="S15" s="107"/>
      <c r="T15" s="5"/>
      <c r="U15" s="92">
        <f>644+150</f>
        <v>794</v>
      </c>
      <c r="V15" s="93">
        <v>0</v>
      </c>
      <c r="W15" s="101">
        <v>769.08</v>
      </c>
      <c r="X15" s="100" t="s">
        <v>21</v>
      </c>
    </row>
    <row r="16" spans="8:24">
      <c r="H16" s="95"/>
      <c r="I16" s="25" t="s">
        <v>25</v>
      </c>
      <c r="J16" s="81" t="s">
        <v>118</v>
      </c>
      <c r="K16" s="26"/>
      <c r="L16" s="27"/>
      <c r="M16" s="164"/>
      <c r="N16" s="163">
        <f>+M16*3</f>
        <v>0</v>
      </c>
      <c r="O16" s="28">
        <v>24</v>
      </c>
      <c r="P16" s="75">
        <f t="shared" ref="P16:P26" si="2">IF(O16&gt;25,150,(O16)*6)</f>
        <v>144</v>
      </c>
      <c r="Q16" s="49"/>
      <c r="R16" s="11">
        <f t="shared" si="1"/>
        <v>144</v>
      </c>
      <c r="S16" s="107"/>
      <c r="T16" s="5"/>
      <c r="U16" s="30">
        <f>+V16+W16</f>
        <v>720</v>
      </c>
      <c r="V16" s="71">
        <f>+V15*W16/W15</f>
        <v>0</v>
      </c>
      <c r="W16" s="31">
        <v>720</v>
      </c>
      <c r="X16" s="37"/>
    </row>
    <row r="17" spans="1:24">
      <c r="H17" s="187" t="s">
        <v>169</v>
      </c>
      <c r="I17" s="188" t="s">
        <v>41</v>
      </c>
      <c r="J17" s="189" t="s">
        <v>112</v>
      </c>
      <c r="K17" s="190"/>
      <c r="L17" s="191"/>
      <c r="M17" s="192"/>
      <c r="N17" s="193">
        <f>+M17*3</f>
        <v>0</v>
      </c>
      <c r="O17" s="192">
        <v>30</v>
      </c>
      <c r="P17" s="193">
        <f t="shared" si="2"/>
        <v>150</v>
      </c>
      <c r="Q17" s="195"/>
      <c r="R17" s="196">
        <f t="shared" si="1"/>
        <v>150</v>
      </c>
      <c r="S17" s="197"/>
      <c r="T17" s="5"/>
      <c r="U17" s="32">
        <f>+U15-U16</f>
        <v>74</v>
      </c>
      <c r="V17" s="47"/>
      <c r="W17" s="33"/>
      <c r="X17" s="4" t="s">
        <v>59</v>
      </c>
    </row>
    <row r="18" spans="1:24">
      <c r="H18" s="83"/>
      <c r="I18" s="126" t="s">
        <v>71</v>
      </c>
      <c r="J18" s="80" t="s">
        <v>139</v>
      </c>
      <c r="K18" s="8"/>
      <c r="L18" s="54"/>
      <c r="M18" s="162"/>
      <c r="N18" s="163">
        <f>5*M18</f>
        <v>0</v>
      </c>
      <c r="O18" s="76">
        <v>30</v>
      </c>
      <c r="P18" s="75">
        <f t="shared" si="2"/>
        <v>150</v>
      </c>
      <c r="Q18" s="50"/>
      <c r="R18" s="11">
        <f t="shared" si="1"/>
        <v>150</v>
      </c>
      <c r="S18" s="106"/>
      <c r="T18" s="5"/>
      <c r="U18" s="34">
        <v>150</v>
      </c>
      <c r="V18" s="38">
        <f>+U18-U17</f>
        <v>76</v>
      </c>
      <c r="W18" s="39" t="s">
        <v>63</v>
      </c>
      <c r="X18" s="6">
        <f>150-V18</f>
        <v>74</v>
      </c>
    </row>
    <row r="19" spans="1:24">
      <c r="H19" s="141"/>
      <c r="I19" s="25" t="s">
        <v>28</v>
      </c>
      <c r="J19" s="81" t="s">
        <v>122</v>
      </c>
      <c r="K19" s="29"/>
      <c r="L19" s="55"/>
      <c r="M19" s="164"/>
      <c r="N19" s="163">
        <f>+M19*3</f>
        <v>0</v>
      </c>
      <c r="O19" s="74">
        <v>45</v>
      </c>
      <c r="P19" s="75">
        <f t="shared" si="2"/>
        <v>150</v>
      </c>
      <c r="Q19" s="50"/>
      <c r="R19" s="9">
        <f t="shared" si="1"/>
        <v>150</v>
      </c>
      <c r="S19" s="107"/>
      <c r="T19" s="5"/>
      <c r="U19" s="10"/>
      <c r="X19" s="37"/>
    </row>
    <row r="20" spans="1:24">
      <c r="H20" s="141"/>
      <c r="I20" s="25" t="s">
        <v>10</v>
      </c>
      <c r="J20" s="96" t="s">
        <v>129</v>
      </c>
      <c r="K20" s="35"/>
      <c r="L20" s="55"/>
      <c r="M20" s="164"/>
      <c r="N20" s="163">
        <f>5*M20</f>
        <v>0</v>
      </c>
      <c r="O20" s="74"/>
      <c r="P20" s="75">
        <f t="shared" si="2"/>
        <v>0</v>
      </c>
      <c r="Q20" s="112"/>
      <c r="R20" s="9">
        <f t="shared" si="1"/>
        <v>0</v>
      </c>
      <c r="S20" s="107"/>
      <c r="T20" s="5"/>
      <c r="U20" s="58"/>
      <c r="V20" s="59"/>
      <c r="W20" s="60"/>
      <c r="X20" s="61"/>
    </row>
    <row r="21" spans="1:24">
      <c r="H21" s="142"/>
      <c r="I21" s="25" t="s">
        <v>4</v>
      </c>
      <c r="J21" s="81" t="s">
        <v>111</v>
      </c>
      <c r="K21" s="29"/>
      <c r="L21" s="27"/>
      <c r="M21" s="164"/>
      <c r="N21" s="163">
        <v>0</v>
      </c>
      <c r="O21" s="28">
        <v>34</v>
      </c>
      <c r="P21" s="75">
        <f t="shared" si="2"/>
        <v>150</v>
      </c>
      <c r="Q21" s="49"/>
      <c r="R21" s="11">
        <f t="shared" si="1"/>
        <v>150</v>
      </c>
      <c r="S21" s="107"/>
      <c r="T21" s="5"/>
      <c r="U21" s="103" t="s">
        <v>161</v>
      </c>
    </row>
    <row r="22" spans="1:24">
      <c r="H22" s="83"/>
      <c r="I22" s="25" t="s">
        <v>9</v>
      </c>
      <c r="J22" s="96" t="s">
        <v>128</v>
      </c>
      <c r="K22" s="35"/>
      <c r="L22" s="55"/>
      <c r="M22" s="164"/>
      <c r="N22" s="163">
        <f>+M22*3</f>
        <v>0</v>
      </c>
      <c r="O22" s="74"/>
      <c r="P22" s="75">
        <f t="shared" si="2"/>
        <v>0</v>
      </c>
      <c r="Q22" s="112"/>
      <c r="R22" s="11">
        <f t="shared" si="1"/>
        <v>0</v>
      </c>
      <c r="S22" s="107"/>
      <c r="T22" s="5"/>
      <c r="U22" s="176" t="s">
        <v>158</v>
      </c>
      <c r="V22" s="177" t="s">
        <v>159</v>
      </c>
      <c r="W22" s="178"/>
      <c r="X22" s="174" t="s">
        <v>157</v>
      </c>
    </row>
    <row r="23" spans="1:24">
      <c r="H23" s="83"/>
      <c r="I23" s="126" t="s">
        <v>51</v>
      </c>
      <c r="J23" s="82" t="s">
        <v>134</v>
      </c>
      <c r="K23" s="12"/>
      <c r="L23" s="54"/>
      <c r="M23" s="162"/>
      <c r="N23" s="163">
        <f>+M23*3</f>
        <v>0</v>
      </c>
      <c r="O23" s="76">
        <v>1</v>
      </c>
      <c r="P23" s="75">
        <f t="shared" si="2"/>
        <v>6</v>
      </c>
      <c r="Q23" s="49"/>
      <c r="R23" s="11">
        <f t="shared" si="1"/>
        <v>6</v>
      </c>
      <c r="S23" s="106"/>
      <c r="T23" s="5"/>
      <c r="U23" s="179">
        <v>43480</v>
      </c>
      <c r="V23" s="170">
        <v>1</v>
      </c>
      <c r="W23" s="180"/>
      <c r="X23" s="33" t="s">
        <v>156</v>
      </c>
    </row>
    <row r="24" spans="1:24">
      <c r="H24" s="83"/>
      <c r="I24" s="126" t="s">
        <v>61</v>
      </c>
      <c r="J24" s="80" t="s">
        <v>137</v>
      </c>
      <c r="K24" s="8"/>
      <c r="L24" s="54"/>
      <c r="M24" s="162"/>
      <c r="N24" s="163">
        <v>0</v>
      </c>
      <c r="O24" s="72"/>
      <c r="P24" s="75">
        <f t="shared" si="2"/>
        <v>0</v>
      </c>
      <c r="Q24" s="50"/>
      <c r="R24" s="11">
        <f t="shared" si="1"/>
        <v>0</v>
      </c>
      <c r="S24" s="106"/>
      <c r="T24" s="5"/>
      <c r="U24" s="179">
        <f>1+U23</f>
        <v>43481</v>
      </c>
      <c r="V24" s="170">
        <v>1</v>
      </c>
      <c r="W24" s="181"/>
      <c r="X24" s="33" t="s">
        <v>151</v>
      </c>
    </row>
    <row r="25" spans="1:24">
      <c r="H25" s="83"/>
      <c r="I25" s="25" t="s">
        <v>14</v>
      </c>
      <c r="J25" s="96" t="s">
        <v>125</v>
      </c>
      <c r="K25" s="29"/>
      <c r="L25" s="55"/>
      <c r="M25" s="164"/>
      <c r="N25" s="163">
        <f>+M25*3</f>
        <v>0</v>
      </c>
      <c r="O25" s="74">
        <v>10</v>
      </c>
      <c r="P25" s="75">
        <f t="shared" si="2"/>
        <v>60</v>
      </c>
      <c r="Q25" s="49"/>
      <c r="R25" s="11">
        <f t="shared" si="1"/>
        <v>60</v>
      </c>
      <c r="S25" s="107"/>
      <c r="T25" s="5"/>
      <c r="U25" s="179">
        <f>1+U24</f>
        <v>43482</v>
      </c>
      <c r="V25" s="170">
        <v>1</v>
      </c>
      <c r="W25" s="182"/>
      <c r="X25" s="33" t="s">
        <v>152</v>
      </c>
    </row>
    <row r="26" spans="1:24">
      <c r="H26" s="83"/>
      <c r="I26" s="126" t="s">
        <v>79</v>
      </c>
      <c r="J26" s="82" t="s">
        <v>110</v>
      </c>
      <c r="K26" s="8"/>
      <c r="L26" s="54"/>
      <c r="M26" s="164"/>
      <c r="N26" s="163">
        <v>0</v>
      </c>
      <c r="O26" s="76"/>
      <c r="P26" s="75">
        <f t="shared" si="2"/>
        <v>0</v>
      </c>
      <c r="Q26" s="50"/>
      <c r="R26" s="11">
        <f t="shared" si="1"/>
        <v>0</v>
      </c>
      <c r="S26" s="106"/>
      <c r="T26" s="5"/>
      <c r="U26" s="179">
        <f>1+U25</f>
        <v>43483</v>
      </c>
      <c r="V26" s="170">
        <v>1</v>
      </c>
      <c r="W26" s="181"/>
      <c r="X26" s="33" t="s">
        <v>153</v>
      </c>
    </row>
    <row r="27" spans="1:24">
      <c r="A27" s="4"/>
      <c r="B27" s="4"/>
      <c r="C27" s="4"/>
      <c r="D27" s="3"/>
      <c r="E27" s="4"/>
      <c r="F27" s="40"/>
      <c r="G27" s="4"/>
      <c r="H27" s="83"/>
      <c r="I27" s="25" t="s">
        <v>0</v>
      </c>
      <c r="J27" s="81" t="s">
        <v>108</v>
      </c>
      <c r="K27" s="29"/>
      <c r="L27" s="55"/>
      <c r="M27" s="164"/>
      <c r="N27" s="163">
        <f>+M27*5</f>
        <v>0</v>
      </c>
      <c r="O27" s="74"/>
      <c r="P27" s="75">
        <v>0</v>
      </c>
      <c r="Q27" s="50"/>
      <c r="R27" s="9">
        <f t="shared" si="1"/>
        <v>0</v>
      </c>
      <c r="S27" s="107"/>
      <c r="T27" s="5"/>
      <c r="U27" s="179">
        <f>1+U26</f>
        <v>43484</v>
      </c>
      <c r="V27" s="170">
        <v>0.5</v>
      </c>
      <c r="W27" s="183"/>
      <c r="X27" s="33" t="s">
        <v>154</v>
      </c>
    </row>
    <row r="28" spans="1:24">
      <c r="H28" s="83"/>
      <c r="I28" s="25" t="s">
        <v>45</v>
      </c>
      <c r="J28" s="81" t="s">
        <v>133</v>
      </c>
      <c r="K28" s="26"/>
      <c r="L28" s="55"/>
      <c r="M28" s="164"/>
      <c r="N28" s="163">
        <f>+M28*3</f>
        <v>0</v>
      </c>
      <c r="O28" s="74">
        <v>35</v>
      </c>
      <c r="P28" s="75">
        <f t="shared" ref="P28:P42" si="3">IF(O28&gt;25,150,(O28)*6)</f>
        <v>150</v>
      </c>
      <c r="Q28" s="49"/>
      <c r="R28" s="11">
        <f t="shared" si="1"/>
        <v>150</v>
      </c>
      <c r="S28" s="107"/>
      <c r="T28" s="5"/>
      <c r="U28" s="184"/>
      <c r="V28" s="170">
        <f>SUM(V23:V27)</f>
        <v>4.5</v>
      </c>
      <c r="W28" s="183" t="s">
        <v>148</v>
      </c>
      <c r="X28" s="175" t="s">
        <v>155</v>
      </c>
    </row>
    <row r="29" spans="1:24">
      <c r="H29" s="201" t="s">
        <v>50</v>
      </c>
      <c r="I29" s="21" t="s">
        <v>13</v>
      </c>
      <c r="J29" s="20" t="s">
        <v>121</v>
      </c>
      <c r="K29" s="22"/>
      <c r="L29" s="56"/>
      <c r="M29" s="160"/>
      <c r="N29" s="161">
        <v>0</v>
      </c>
      <c r="O29" s="23"/>
      <c r="P29" s="24">
        <f t="shared" si="3"/>
        <v>0</v>
      </c>
      <c r="Q29" s="51"/>
      <c r="R29" s="24">
        <f t="shared" si="1"/>
        <v>0</v>
      </c>
      <c r="S29" s="108"/>
      <c r="T29" s="5"/>
      <c r="U29" s="184"/>
      <c r="V29" s="171">
        <v>18</v>
      </c>
      <c r="W29" s="185" t="s">
        <v>149</v>
      </c>
      <c r="X29" s="61"/>
    </row>
    <row r="30" spans="1:24" ht="16.5">
      <c r="H30" s="83"/>
      <c r="I30" s="25" t="s">
        <v>31</v>
      </c>
      <c r="J30" s="81" t="s">
        <v>127</v>
      </c>
      <c r="K30" s="29"/>
      <c r="L30" s="55"/>
      <c r="M30" s="164"/>
      <c r="N30" s="163">
        <v>0</v>
      </c>
      <c r="O30" s="74">
        <v>33</v>
      </c>
      <c r="P30" s="75">
        <f t="shared" si="3"/>
        <v>150</v>
      </c>
      <c r="Q30" s="49"/>
      <c r="R30" s="11">
        <f t="shared" si="1"/>
        <v>150</v>
      </c>
      <c r="S30" s="107"/>
      <c r="T30" s="5"/>
      <c r="U30" s="186" t="s">
        <v>160</v>
      </c>
      <c r="V30" s="172">
        <f>+V29/V28</f>
        <v>4</v>
      </c>
      <c r="W30" s="173" t="s">
        <v>150</v>
      </c>
      <c r="X30" s="61"/>
    </row>
    <row r="31" spans="1:24">
      <c r="H31" s="83"/>
      <c r="I31" s="25" t="s">
        <v>30</v>
      </c>
      <c r="J31" s="81" t="s">
        <v>126</v>
      </c>
      <c r="K31" s="29"/>
      <c r="L31" s="55"/>
      <c r="M31" s="164"/>
      <c r="N31" s="163">
        <f>+M31*3</f>
        <v>0</v>
      </c>
      <c r="O31" s="28"/>
      <c r="P31" s="11">
        <f t="shared" si="3"/>
        <v>0</v>
      </c>
      <c r="Q31" s="49"/>
      <c r="R31" s="11">
        <f t="shared" si="1"/>
        <v>0</v>
      </c>
      <c r="S31" s="107"/>
      <c r="T31" s="5"/>
      <c r="U31" s="58"/>
      <c r="V31" s="59"/>
      <c r="W31" s="60"/>
      <c r="X31" s="65"/>
    </row>
    <row r="32" spans="1:24">
      <c r="H32" s="201" t="s">
        <v>50</v>
      </c>
      <c r="I32" s="202" t="s">
        <v>186</v>
      </c>
      <c r="J32" s="203" t="s">
        <v>187</v>
      </c>
      <c r="K32" s="190"/>
      <c r="L32" s="191"/>
      <c r="M32" s="192"/>
      <c r="N32" s="193">
        <v>0</v>
      </c>
      <c r="O32" s="192">
        <v>19</v>
      </c>
      <c r="P32" s="193">
        <f>IF(O32&gt;25,150,(O32)*6)</f>
        <v>114</v>
      </c>
      <c r="Q32" s="195"/>
      <c r="R32" s="193">
        <f>+L32+N32+P32+Q32</f>
        <v>114</v>
      </c>
      <c r="S32" s="108"/>
      <c r="T32" s="5"/>
      <c r="U32" s="58"/>
      <c r="V32" s="66"/>
      <c r="W32" s="67"/>
      <c r="X32" s="66"/>
    </row>
    <row r="33" spans="1:24" s="4" customFormat="1">
      <c r="A33"/>
      <c r="B33"/>
      <c r="C33"/>
      <c r="D33" s="1"/>
      <c r="E33"/>
      <c r="F33" s="2"/>
      <c r="G33"/>
      <c r="H33" s="83"/>
      <c r="I33" s="25" t="s">
        <v>17</v>
      </c>
      <c r="J33" s="81" t="s">
        <v>123</v>
      </c>
      <c r="K33" s="26"/>
      <c r="L33" s="55"/>
      <c r="M33" s="164"/>
      <c r="N33" s="163">
        <f>+M33*3</f>
        <v>0</v>
      </c>
      <c r="O33" s="74">
        <v>33</v>
      </c>
      <c r="P33" s="75">
        <f t="shared" si="3"/>
        <v>150</v>
      </c>
      <c r="Q33" s="49"/>
      <c r="R33" s="11">
        <f t="shared" si="1"/>
        <v>150</v>
      </c>
      <c r="S33" s="107"/>
      <c r="T33" s="5"/>
      <c r="U33" s="64"/>
      <c r="V33" s="59"/>
      <c r="W33" s="60"/>
      <c r="X33" s="68"/>
    </row>
    <row r="34" spans="1:24">
      <c r="H34" s="83"/>
      <c r="I34" s="25" t="s">
        <v>60</v>
      </c>
      <c r="J34" s="81" t="s">
        <v>132</v>
      </c>
      <c r="K34" s="26"/>
      <c r="L34" s="55"/>
      <c r="M34" s="164"/>
      <c r="N34" s="163">
        <v>0</v>
      </c>
      <c r="O34" s="74"/>
      <c r="P34" s="75">
        <f t="shared" si="3"/>
        <v>0</v>
      </c>
      <c r="Q34" s="49"/>
      <c r="R34" s="11">
        <f t="shared" si="1"/>
        <v>0</v>
      </c>
      <c r="S34" s="107"/>
      <c r="T34" s="5"/>
      <c r="U34" s="58"/>
      <c r="V34" s="66"/>
      <c r="W34" s="67"/>
      <c r="X34" s="69"/>
    </row>
    <row r="35" spans="1:24">
      <c r="H35" s="142"/>
      <c r="I35" s="25" t="s">
        <v>8</v>
      </c>
      <c r="J35" s="81" t="s">
        <v>120</v>
      </c>
      <c r="K35" s="29"/>
      <c r="L35" s="27"/>
      <c r="M35" s="164"/>
      <c r="N35" s="163">
        <v>0</v>
      </c>
      <c r="O35" s="28">
        <v>32</v>
      </c>
      <c r="P35" s="75">
        <f t="shared" si="3"/>
        <v>150</v>
      </c>
      <c r="Q35" s="49"/>
      <c r="R35" s="57">
        <f t="shared" si="1"/>
        <v>150</v>
      </c>
      <c r="S35" s="107"/>
      <c r="T35" s="5"/>
      <c r="U35" s="58"/>
      <c r="V35" s="59"/>
      <c r="W35" s="60"/>
      <c r="X35" s="65"/>
    </row>
    <row r="36" spans="1:24">
      <c r="H36" s="83"/>
      <c r="I36" s="25" t="s">
        <v>11</v>
      </c>
      <c r="J36" s="96" t="s">
        <v>130</v>
      </c>
      <c r="K36" s="35"/>
      <c r="L36" s="55"/>
      <c r="M36" s="164"/>
      <c r="N36" s="163">
        <f>+M36*3</f>
        <v>0</v>
      </c>
      <c r="O36" s="74">
        <v>36</v>
      </c>
      <c r="P36" s="75">
        <f t="shared" si="3"/>
        <v>150</v>
      </c>
      <c r="Q36" s="112"/>
      <c r="R36" s="11">
        <f t="shared" si="1"/>
        <v>150</v>
      </c>
      <c r="S36" s="107"/>
      <c r="T36" s="5"/>
      <c r="U36" s="58"/>
      <c r="V36" s="59">
        <v>17.142900000000001</v>
      </c>
      <c r="W36" s="60"/>
      <c r="X36" s="61"/>
    </row>
    <row r="37" spans="1:24">
      <c r="H37" s="83"/>
      <c r="I37" s="25" t="s">
        <v>48</v>
      </c>
      <c r="J37" s="81" t="s">
        <v>131</v>
      </c>
      <c r="K37" s="26"/>
      <c r="L37" s="55"/>
      <c r="M37" s="164"/>
      <c r="N37" s="163">
        <f>+M37*3</f>
        <v>0</v>
      </c>
      <c r="O37" s="74"/>
      <c r="P37" s="75">
        <f t="shared" si="3"/>
        <v>0</v>
      </c>
      <c r="Q37" s="49"/>
      <c r="R37" s="11">
        <f t="shared" si="1"/>
        <v>0</v>
      </c>
      <c r="S37" s="107"/>
      <c r="T37" s="5"/>
      <c r="U37" s="58"/>
      <c r="V37" s="59">
        <f>+V36/6*7</f>
        <v>20.000050000000002</v>
      </c>
      <c r="W37" s="62"/>
      <c r="X37" s="63"/>
    </row>
    <row r="38" spans="1:24">
      <c r="H38" s="144"/>
      <c r="I38" s="25" t="s">
        <v>84</v>
      </c>
      <c r="J38" s="96" t="s">
        <v>142</v>
      </c>
      <c r="K38" s="145"/>
      <c r="L38" s="55"/>
      <c r="M38" s="164"/>
      <c r="N38" s="163">
        <v>0</v>
      </c>
      <c r="O38" s="28"/>
      <c r="P38" s="11">
        <f t="shared" si="3"/>
        <v>0</v>
      </c>
      <c r="Q38" s="112"/>
      <c r="R38" s="11">
        <f t="shared" si="1"/>
        <v>0</v>
      </c>
      <c r="S38" s="107"/>
      <c r="T38" s="5"/>
      <c r="U38" s="58"/>
      <c r="V38" s="66"/>
      <c r="W38" s="67"/>
      <c r="X38" s="66"/>
    </row>
    <row r="39" spans="1:24">
      <c r="H39" s="83"/>
      <c r="I39" s="25" t="s">
        <v>44</v>
      </c>
      <c r="J39" s="96" t="s">
        <v>124</v>
      </c>
      <c r="K39" s="29"/>
      <c r="L39" s="55"/>
      <c r="M39" s="164"/>
      <c r="N39" s="163">
        <f>+M39*3</f>
        <v>0</v>
      </c>
      <c r="O39" s="113"/>
      <c r="P39" s="75">
        <f t="shared" si="3"/>
        <v>0</v>
      </c>
      <c r="Q39" s="49"/>
      <c r="R39" s="11">
        <f t="shared" si="1"/>
        <v>0</v>
      </c>
      <c r="S39" s="107"/>
      <c r="T39" s="5"/>
      <c r="U39" s="58"/>
      <c r="V39" s="66"/>
      <c r="W39" s="67"/>
      <c r="X39" s="66"/>
    </row>
    <row r="40" spans="1:24">
      <c r="H40" s="81"/>
      <c r="I40" s="25" t="s">
        <v>6</v>
      </c>
      <c r="J40" s="81" t="s">
        <v>116</v>
      </c>
      <c r="K40" s="29"/>
      <c r="L40" s="27"/>
      <c r="M40" s="164"/>
      <c r="N40" s="163">
        <f>+M40*3</f>
        <v>0</v>
      </c>
      <c r="O40" s="28"/>
      <c r="P40" s="75">
        <f t="shared" si="3"/>
        <v>0</v>
      </c>
      <c r="Q40" s="49"/>
      <c r="R40" s="57">
        <f t="shared" si="1"/>
        <v>0</v>
      </c>
      <c r="S40" s="107"/>
      <c r="T40" s="5"/>
      <c r="U40" s="58"/>
      <c r="V40" s="59"/>
      <c r="W40" s="60"/>
      <c r="X40" s="65"/>
    </row>
    <row r="41" spans="1:24">
      <c r="H41" s="187" t="s">
        <v>169</v>
      </c>
      <c r="I41" s="188" t="s">
        <v>53</v>
      </c>
      <c r="J41" s="189" t="s">
        <v>135</v>
      </c>
      <c r="K41" s="190"/>
      <c r="L41" s="191"/>
      <c r="M41" s="192"/>
      <c r="N41" s="193">
        <v>0</v>
      </c>
      <c r="O41" s="192">
        <v>32</v>
      </c>
      <c r="P41" s="193">
        <f t="shared" si="3"/>
        <v>150</v>
      </c>
      <c r="Q41" s="195"/>
      <c r="R41" s="196">
        <f t="shared" si="1"/>
        <v>150</v>
      </c>
      <c r="S41" s="197"/>
      <c r="T41" s="5"/>
      <c r="U41" s="58"/>
      <c r="V41" s="59"/>
      <c r="W41" s="60"/>
      <c r="X41" s="65"/>
    </row>
    <row r="42" spans="1:24">
      <c r="H42" s="81"/>
      <c r="I42" s="120" t="s">
        <v>12</v>
      </c>
      <c r="J42" s="150" t="s">
        <v>114</v>
      </c>
      <c r="K42" s="151"/>
      <c r="L42" s="146"/>
      <c r="M42" s="165"/>
      <c r="N42" s="166">
        <v>0</v>
      </c>
      <c r="O42" s="122">
        <v>36</v>
      </c>
      <c r="P42" s="147">
        <f t="shared" si="3"/>
        <v>150</v>
      </c>
      <c r="Q42" s="153"/>
      <c r="R42" s="124">
        <f t="shared" si="1"/>
        <v>150</v>
      </c>
      <c r="S42" s="148"/>
      <c r="T42" s="5"/>
      <c r="U42" s="58"/>
      <c r="V42" s="59"/>
      <c r="W42" s="60"/>
      <c r="X42" s="61"/>
    </row>
    <row r="43" spans="1:24">
      <c r="I43" s="13"/>
      <c r="J43" s="14"/>
      <c r="K43" s="17">
        <f t="shared" ref="K43:S43" si="4">SUM(K5:K42)</f>
        <v>0</v>
      </c>
      <c r="L43" s="18">
        <f t="shared" si="4"/>
        <v>0</v>
      </c>
      <c r="M43" s="167">
        <f t="shared" si="4"/>
        <v>0</v>
      </c>
      <c r="N43" s="168">
        <f t="shared" si="4"/>
        <v>0</v>
      </c>
      <c r="O43" s="77">
        <f t="shared" si="4"/>
        <v>626</v>
      </c>
      <c r="P43" s="78">
        <f t="shared" si="4"/>
        <v>2958</v>
      </c>
      <c r="Q43" s="16">
        <f t="shared" si="4"/>
        <v>0</v>
      </c>
      <c r="R43" s="78">
        <f t="shared" si="4"/>
        <v>2958</v>
      </c>
      <c r="S43" s="102">
        <f t="shared" si="4"/>
        <v>0</v>
      </c>
      <c r="T43" s="5"/>
      <c r="U43" s="58"/>
      <c r="V43" s="59"/>
      <c r="W43" s="60"/>
      <c r="X43" s="61"/>
    </row>
    <row r="44" spans="1:24">
      <c r="J44" s="200">
        <f ca="1">TODAY()</f>
        <v>43825</v>
      </c>
      <c r="K44" s="41"/>
      <c r="M44" s="42"/>
      <c r="N44" s="41"/>
      <c r="O44" s="45" t="s">
        <v>81</v>
      </c>
      <c r="Q44" s="42"/>
      <c r="R44" s="45">
        <f>+R17+R29+R41+R32</f>
        <v>414</v>
      </c>
      <c r="T44" s="5"/>
      <c r="U44" s="58"/>
      <c r="V44" s="59"/>
      <c r="W44" s="60"/>
      <c r="X44" s="65"/>
    </row>
    <row r="45" spans="1:24">
      <c r="L45" s="43"/>
      <c r="M45" s="44"/>
      <c r="N45" s="125"/>
      <c r="O45" s="43" t="s">
        <v>91</v>
      </c>
      <c r="P45" s="114"/>
      <c r="Q45" s="110" t="s">
        <v>58</v>
      </c>
      <c r="R45" s="111">
        <f>+R43-R44</f>
        <v>2544</v>
      </c>
      <c r="S45" s="109"/>
      <c r="T45" s="5"/>
      <c r="U45" s="58"/>
      <c r="V45" s="59"/>
      <c r="W45" s="62"/>
      <c r="X45" s="60"/>
    </row>
    <row r="46" spans="1:24">
      <c r="P46" s="19"/>
      <c r="U46" s="58"/>
      <c r="V46" s="59"/>
      <c r="W46" s="62"/>
      <c r="X46" s="60"/>
    </row>
    <row r="47" spans="1:24">
      <c r="I47" s="123" t="s">
        <v>86</v>
      </c>
      <c r="P47" s="19"/>
      <c r="U47" s="64"/>
      <c r="V47" s="59"/>
      <c r="W47" s="60"/>
      <c r="X47" s="68"/>
    </row>
    <row r="48" spans="1:24">
      <c r="I48" s="123" t="s">
        <v>87</v>
      </c>
      <c r="P48" s="19"/>
      <c r="U48" s="58"/>
      <c r="V48" s="66"/>
      <c r="W48" s="67"/>
      <c r="X48" s="69"/>
    </row>
    <row r="49" spans="9:24">
      <c r="I49" s="123" t="s">
        <v>88</v>
      </c>
      <c r="P49" s="19"/>
      <c r="U49" s="60"/>
      <c r="V49" s="59"/>
      <c r="W49" s="60"/>
      <c r="X49" s="60"/>
    </row>
    <row r="50" spans="9:24">
      <c r="I50" s="123" t="s">
        <v>89</v>
      </c>
      <c r="P50" s="19"/>
      <c r="U50" s="60"/>
      <c r="V50" s="59"/>
      <c r="W50" s="60"/>
      <c r="X50" s="60"/>
    </row>
    <row r="51" spans="9:24">
      <c r="I51" s="123" t="s">
        <v>90</v>
      </c>
      <c r="P51" s="19"/>
      <c r="U51" s="60"/>
      <c r="V51" s="59"/>
      <c r="W51" s="60"/>
      <c r="X51" s="60"/>
    </row>
    <row r="52" spans="9:24">
      <c r="U52" s="60"/>
      <c r="V52" s="59"/>
      <c r="W52" s="60"/>
      <c r="X52" s="60"/>
    </row>
    <row r="53" spans="9:24">
      <c r="P53" s="19"/>
      <c r="U53" s="60"/>
      <c r="V53" s="59"/>
      <c r="W53" s="60"/>
      <c r="X53" s="60"/>
    </row>
    <row r="54" spans="9:24">
      <c r="P54" s="19"/>
      <c r="U54" s="60"/>
      <c r="V54" s="59"/>
      <c r="W54" s="60"/>
      <c r="X54" s="60"/>
    </row>
    <row r="55" spans="9:24">
      <c r="P55" s="19"/>
      <c r="U55" s="60"/>
      <c r="V55" s="59"/>
      <c r="W55" s="60"/>
      <c r="X55" s="60"/>
    </row>
    <row r="56" spans="9:24">
      <c r="U56" s="60"/>
      <c r="V56" s="59"/>
      <c r="W56" s="60"/>
      <c r="X56" s="60"/>
    </row>
  </sheetData>
  <mergeCells count="4">
    <mergeCell ref="I2:R2"/>
    <mergeCell ref="K3:N3"/>
    <mergeCell ref="O3:P3"/>
    <mergeCell ref="T3:V3"/>
  </mergeCells>
  <conditionalFormatting sqref="R5">
    <cfRule type="cellIs" dxfId="24" priority="2" operator="lessThanOrEqual">
      <formula>0</formula>
    </cfRule>
  </conditionalFormatting>
  <conditionalFormatting sqref="R41:R42 R5:R39">
    <cfRule type="cellIs" dxfId="23" priority="1" operator="greaterThan">
      <formula>0</formula>
    </cfRule>
  </conditionalFormatting>
  <printOptions horizontalCentered="1"/>
  <pageMargins left="0" right="0" top="0.83" bottom="0" header="0" footer="0"/>
  <pageSetup paperSize="9" scale="86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55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N19" sqref="N19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10.85546875" bestFit="1" customWidth="1"/>
    <col min="9" max="9" width="8.7109375" customWidth="1"/>
    <col min="10" max="10" width="24.140625" customWidth="1"/>
    <col min="11" max="12" width="3.7109375" customWidth="1"/>
    <col min="13" max="13" width="7" bestFit="1" customWidth="1"/>
    <col min="14" max="14" width="11.28515625" customWidth="1"/>
    <col min="15" max="15" width="7" bestFit="1" customWidth="1"/>
    <col min="16" max="16" width="11.42578125" customWidth="1"/>
    <col min="17" max="17" width="10.85546875" customWidth="1"/>
    <col min="18" max="18" width="13.85546875" customWidth="1"/>
    <col min="19" max="19" width="4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4" ht="5.0999999999999996" customHeight="1"/>
    <row r="2" spans="8:24">
      <c r="H2" s="83"/>
      <c r="I2" s="439" t="s">
        <v>180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4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4" ht="45">
      <c r="H4" s="83" t="s">
        <v>143</v>
      </c>
      <c r="I4" s="86" t="s">
        <v>7</v>
      </c>
      <c r="J4" s="86" t="s">
        <v>3</v>
      </c>
      <c r="K4" s="97"/>
      <c r="L4" s="98"/>
      <c r="M4" s="198" t="s">
        <v>15</v>
      </c>
      <c r="N4" s="198" t="s">
        <v>178</v>
      </c>
      <c r="O4" s="87" t="s">
        <v>15</v>
      </c>
      <c r="P4" s="87" t="s">
        <v>181</v>
      </c>
      <c r="Q4" s="99" t="s">
        <v>182</v>
      </c>
      <c r="R4" s="88" t="s">
        <v>103</v>
      </c>
      <c r="S4" s="140" t="s">
        <v>104</v>
      </c>
      <c r="T4" s="89"/>
      <c r="U4" s="83"/>
      <c r="V4" s="83"/>
    </row>
    <row r="5" spans="8:24">
      <c r="H5" s="83"/>
      <c r="I5" s="126" t="s">
        <v>5</v>
      </c>
      <c r="J5" s="80" t="s">
        <v>117</v>
      </c>
      <c r="K5" s="8"/>
      <c r="L5" s="54"/>
      <c r="M5" s="162"/>
      <c r="N5" s="163">
        <f>+M5*3</f>
        <v>0</v>
      </c>
      <c r="O5" s="76">
        <v>38</v>
      </c>
      <c r="P5" s="75">
        <f t="shared" ref="P5:P14" si="0">IF(O5&gt;25,150,(O5)*6)</f>
        <v>150</v>
      </c>
      <c r="Q5" s="50"/>
      <c r="R5" s="11">
        <f t="shared" ref="R5:R41" si="1">+L5+N5+P5+Q5</f>
        <v>150</v>
      </c>
      <c r="S5" s="106"/>
      <c r="T5" s="5"/>
      <c r="U5" s="92">
        <v>828</v>
      </c>
      <c r="V5" s="93">
        <v>107.64</v>
      </c>
      <c r="W5" s="94">
        <v>720.36</v>
      </c>
      <c r="X5" s="70" t="s">
        <v>36</v>
      </c>
    </row>
    <row r="6" spans="8:24">
      <c r="H6" s="83"/>
      <c r="I6" s="126" t="s">
        <v>82</v>
      </c>
      <c r="J6" s="80" t="s">
        <v>141</v>
      </c>
      <c r="K6" s="8"/>
      <c r="L6" s="54"/>
      <c r="M6" s="162"/>
      <c r="N6" s="163">
        <f>+M6*3</f>
        <v>0</v>
      </c>
      <c r="O6" s="76"/>
      <c r="P6" s="75">
        <f t="shared" si="0"/>
        <v>0</v>
      </c>
      <c r="Q6" s="50"/>
      <c r="R6" s="11">
        <f t="shared" si="1"/>
        <v>0</v>
      </c>
      <c r="S6" s="106"/>
      <c r="T6" s="5"/>
      <c r="U6" s="30">
        <f>+V6+W6</f>
        <v>827.58620689655174</v>
      </c>
      <c r="V6" s="71">
        <f>+V5*W6/W5</f>
        <v>107.58620689655173</v>
      </c>
      <c r="W6" s="31">
        <v>720</v>
      </c>
      <c r="X6" s="36"/>
    </row>
    <row r="7" spans="8:24">
      <c r="H7" s="83"/>
      <c r="I7" s="126" t="s">
        <v>64</v>
      </c>
      <c r="J7" s="80" t="s">
        <v>138</v>
      </c>
      <c r="K7" s="8"/>
      <c r="L7" s="54"/>
      <c r="M7" s="162"/>
      <c r="N7" s="163">
        <f>+M7*3</f>
        <v>0</v>
      </c>
      <c r="O7" s="76">
        <v>39</v>
      </c>
      <c r="P7" s="75">
        <f t="shared" si="0"/>
        <v>150</v>
      </c>
      <c r="Q7" s="50"/>
      <c r="R7" s="11">
        <f t="shared" si="1"/>
        <v>150</v>
      </c>
      <c r="S7" s="106"/>
      <c r="T7" s="5"/>
      <c r="U7" s="32">
        <f>+U5-U6</f>
        <v>0.41379310344825626</v>
      </c>
      <c r="V7" s="47"/>
      <c r="W7" s="33"/>
      <c r="X7" s="4" t="s">
        <v>59</v>
      </c>
    </row>
    <row r="8" spans="8:24">
      <c r="H8" s="83"/>
      <c r="I8" s="25" t="s">
        <v>2</v>
      </c>
      <c r="J8" s="81" t="s">
        <v>107</v>
      </c>
      <c r="K8" s="29"/>
      <c r="L8" s="55"/>
      <c r="M8" s="164"/>
      <c r="N8" s="163">
        <f>+M8*3</f>
        <v>0</v>
      </c>
      <c r="O8" s="74"/>
      <c r="P8" s="75">
        <f t="shared" si="0"/>
        <v>0</v>
      </c>
      <c r="Q8" s="50"/>
      <c r="R8" s="9">
        <f t="shared" si="1"/>
        <v>0</v>
      </c>
      <c r="S8" s="138"/>
      <c r="T8" s="5"/>
      <c r="U8" s="34">
        <v>150</v>
      </c>
      <c r="V8" s="38">
        <f>+U8-U7</f>
        <v>149.58620689655174</v>
      </c>
      <c r="W8" s="39" t="s">
        <v>63</v>
      </c>
      <c r="X8" s="6">
        <f>150-V8</f>
        <v>0.41379310344825626</v>
      </c>
    </row>
    <row r="9" spans="8:24">
      <c r="H9" s="95"/>
      <c r="I9" s="25" t="s">
        <v>42</v>
      </c>
      <c r="J9" s="81" t="s">
        <v>119</v>
      </c>
      <c r="K9" s="26"/>
      <c r="L9" s="27"/>
      <c r="M9" s="164"/>
      <c r="N9" s="163">
        <f>+M9*3</f>
        <v>0</v>
      </c>
      <c r="O9" s="28"/>
      <c r="P9" s="75">
        <f t="shared" si="0"/>
        <v>0</v>
      </c>
      <c r="Q9" s="49"/>
      <c r="R9" s="11">
        <f t="shared" si="1"/>
        <v>0</v>
      </c>
      <c r="S9" s="107"/>
      <c r="T9" s="5"/>
      <c r="U9" s="10"/>
      <c r="X9" s="37"/>
    </row>
    <row r="10" spans="8:24" ht="15" customHeight="1">
      <c r="H10" s="83"/>
      <c r="I10" s="25" t="s">
        <v>1</v>
      </c>
      <c r="J10" s="81" t="s">
        <v>106</v>
      </c>
      <c r="K10" s="29"/>
      <c r="L10" s="55"/>
      <c r="M10" s="164"/>
      <c r="N10" s="163">
        <f>3*M10</f>
        <v>0</v>
      </c>
      <c r="O10" s="74">
        <v>28</v>
      </c>
      <c r="P10" s="75">
        <f t="shared" si="0"/>
        <v>150</v>
      </c>
      <c r="Q10" s="50"/>
      <c r="R10" s="9">
        <f t="shared" si="1"/>
        <v>150</v>
      </c>
      <c r="S10" s="107"/>
      <c r="T10" s="5"/>
      <c r="U10" s="92">
        <v>856</v>
      </c>
      <c r="V10" s="93">
        <v>110.51</v>
      </c>
      <c r="W10" s="94">
        <v>745.49</v>
      </c>
      <c r="X10" s="70" t="s">
        <v>35</v>
      </c>
    </row>
    <row r="11" spans="8:24">
      <c r="H11" s="141"/>
      <c r="I11" s="126" t="s">
        <v>56</v>
      </c>
      <c r="J11" s="80" t="s">
        <v>136</v>
      </c>
      <c r="K11" s="8"/>
      <c r="L11" s="54"/>
      <c r="M11" s="162"/>
      <c r="N11" s="163">
        <v>0</v>
      </c>
      <c r="O11" s="74">
        <v>34</v>
      </c>
      <c r="P11" s="75">
        <f t="shared" si="0"/>
        <v>150</v>
      </c>
      <c r="Q11" s="50"/>
      <c r="R11" s="9">
        <f t="shared" si="1"/>
        <v>150</v>
      </c>
      <c r="S11" s="107"/>
      <c r="T11" s="5"/>
      <c r="U11" s="30">
        <f>+V11+W11</f>
        <v>826.7314115548163</v>
      </c>
      <c r="V11" s="71">
        <f>+V10*W11/W10</f>
        <v>106.73141155481629</v>
      </c>
      <c r="W11" s="31">
        <v>720</v>
      </c>
      <c r="X11" s="37"/>
    </row>
    <row r="12" spans="8:24">
      <c r="H12" s="95"/>
      <c r="I12" s="25" t="s">
        <v>16</v>
      </c>
      <c r="J12" s="81" t="s">
        <v>113</v>
      </c>
      <c r="K12" s="29"/>
      <c r="L12" s="54"/>
      <c r="M12" s="164"/>
      <c r="N12" s="163">
        <v>0</v>
      </c>
      <c r="O12" s="28">
        <v>24</v>
      </c>
      <c r="P12" s="75">
        <f t="shared" si="0"/>
        <v>144</v>
      </c>
      <c r="Q12" s="49"/>
      <c r="R12" s="9">
        <f t="shared" si="1"/>
        <v>144</v>
      </c>
      <c r="S12" s="106"/>
      <c r="T12" s="5"/>
      <c r="U12" s="32">
        <f>+U10-U11</f>
        <v>29.268588445183696</v>
      </c>
      <c r="V12" s="47"/>
      <c r="W12" s="33"/>
      <c r="X12" s="4" t="s">
        <v>59</v>
      </c>
    </row>
    <row r="13" spans="8:24">
      <c r="H13" s="83"/>
      <c r="I13" s="25" t="s">
        <v>92</v>
      </c>
      <c r="J13" s="81" t="s">
        <v>109</v>
      </c>
      <c r="K13" s="29"/>
      <c r="L13" s="55"/>
      <c r="M13" s="164"/>
      <c r="N13" s="163">
        <f>M13*3</f>
        <v>0</v>
      </c>
      <c r="O13" s="74">
        <v>23</v>
      </c>
      <c r="P13" s="75">
        <f t="shared" si="0"/>
        <v>138</v>
      </c>
      <c r="Q13" s="50"/>
      <c r="R13" s="9">
        <f t="shared" si="1"/>
        <v>138</v>
      </c>
      <c r="S13" s="107"/>
      <c r="T13" s="5"/>
      <c r="U13" s="34">
        <v>150</v>
      </c>
      <c r="V13" s="38">
        <f>+U13-U12</f>
        <v>120.7314115548163</v>
      </c>
      <c r="W13" s="39" t="s">
        <v>63</v>
      </c>
      <c r="X13" s="6">
        <f>150-V13</f>
        <v>29.268588445183696</v>
      </c>
    </row>
    <row r="14" spans="8:24">
      <c r="H14" s="95"/>
      <c r="I14" s="25" t="s">
        <v>20</v>
      </c>
      <c r="J14" s="81" t="s">
        <v>115</v>
      </c>
      <c r="K14" s="29"/>
      <c r="L14" s="27"/>
      <c r="M14" s="164"/>
      <c r="N14" s="163">
        <f>+M14*3</f>
        <v>0</v>
      </c>
      <c r="O14" s="28">
        <v>28</v>
      </c>
      <c r="P14" s="75">
        <f t="shared" si="0"/>
        <v>150</v>
      </c>
      <c r="Q14" s="49"/>
      <c r="R14" s="9">
        <f t="shared" si="1"/>
        <v>150</v>
      </c>
      <c r="S14" s="107"/>
      <c r="T14" s="5"/>
      <c r="U14" s="10"/>
      <c r="X14" s="37"/>
    </row>
    <row r="15" spans="8:24">
      <c r="H15" s="95"/>
      <c r="I15" s="25" t="s">
        <v>69</v>
      </c>
      <c r="J15" s="81" t="s">
        <v>162</v>
      </c>
      <c r="K15" s="26"/>
      <c r="L15" s="55"/>
      <c r="M15" s="164"/>
      <c r="N15" s="163">
        <v>0</v>
      </c>
      <c r="O15" s="28"/>
      <c r="P15" s="75"/>
      <c r="Q15" s="49"/>
      <c r="R15" s="11">
        <f t="shared" si="1"/>
        <v>0</v>
      </c>
      <c r="S15" s="107"/>
      <c r="T15" s="5"/>
      <c r="U15" s="92">
        <f>644+150</f>
        <v>794</v>
      </c>
      <c r="V15" s="93">
        <v>0</v>
      </c>
      <c r="W15" s="101">
        <v>769.08</v>
      </c>
      <c r="X15" s="100" t="s">
        <v>21</v>
      </c>
    </row>
    <row r="16" spans="8:24">
      <c r="H16" s="95"/>
      <c r="I16" s="25" t="s">
        <v>25</v>
      </c>
      <c r="J16" s="81" t="s">
        <v>118</v>
      </c>
      <c r="K16" s="26"/>
      <c r="L16" s="27"/>
      <c r="M16" s="164"/>
      <c r="N16" s="163">
        <f>+M16*3</f>
        <v>0</v>
      </c>
      <c r="O16" s="28"/>
      <c r="P16" s="75">
        <f t="shared" ref="P16:P26" si="2">IF(O16&gt;25,150,(O16)*6)</f>
        <v>0</v>
      </c>
      <c r="Q16" s="49"/>
      <c r="R16" s="11">
        <f t="shared" si="1"/>
        <v>0</v>
      </c>
      <c r="S16" s="107"/>
      <c r="T16" s="5"/>
      <c r="U16" s="30">
        <f>+V16+W16</f>
        <v>720</v>
      </c>
      <c r="V16" s="71">
        <f>+V15*W16/W15</f>
        <v>0</v>
      </c>
      <c r="W16" s="31">
        <v>720</v>
      </c>
      <c r="X16" s="37"/>
    </row>
    <row r="17" spans="1:24">
      <c r="H17" s="187" t="s">
        <v>169</v>
      </c>
      <c r="I17" s="188" t="s">
        <v>41</v>
      </c>
      <c r="J17" s="189" t="s">
        <v>112</v>
      </c>
      <c r="K17" s="190"/>
      <c r="L17" s="191"/>
      <c r="M17" s="192"/>
      <c r="N17" s="193">
        <f>+M17*3</f>
        <v>0</v>
      </c>
      <c r="O17" s="194">
        <v>23</v>
      </c>
      <c r="P17" s="193">
        <f t="shared" si="2"/>
        <v>138</v>
      </c>
      <c r="Q17" s="195"/>
      <c r="R17" s="196">
        <f t="shared" si="1"/>
        <v>138</v>
      </c>
      <c r="S17" s="197"/>
      <c r="T17" s="5"/>
      <c r="U17" s="32">
        <f>+U15-U16</f>
        <v>74</v>
      </c>
      <c r="V17" s="47"/>
      <c r="W17" s="33"/>
      <c r="X17" s="4" t="s">
        <v>59</v>
      </c>
    </row>
    <row r="18" spans="1:24">
      <c r="H18" s="83"/>
      <c r="I18" s="126" t="s">
        <v>71</v>
      </c>
      <c r="J18" s="80" t="s">
        <v>139</v>
      </c>
      <c r="K18" s="8"/>
      <c r="L18" s="54"/>
      <c r="M18" s="162"/>
      <c r="N18" s="163">
        <f>5*M18</f>
        <v>0</v>
      </c>
      <c r="O18" s="76"/>
      <c r="P18" s="75">
        <f t="shared" si="2"/>
        <v>0</v>
      </c>
      <c r="Q18" s="50"/>
      <c r="R18" s="11">
        <f t="shared" si="1"/>
        <v>0</v>
      </c>
      <c r="S18" s="106"/>
      <c r="T18" s="5"/>
      <c r="U18" s="34">
        <v>150</v>
      </c>
      <c r="V18" s="38">
        <f>+U18-U17</f>
        <v>76</v>
      </c>
      <c r="W18" s="39" t="s">
        <v>63</v>
      </c>
      <c r="X18" s="6">
        <f>150-V18</f>
        <v>74</v>
      </c>
    </row>
    <row r="19" spans="1:24">
      <c r="H19" s="141"/>
      <c r="I19" s="25" t="s">
        <v>28</v>
      </c>
      <c r="J19" s="81" t="s">
        <v>122</v>
      </c>
      <c r="K19" s="29"/>
      <c r="L19" s="55"/>
      <c r="M19" s="164"/>
      <c r="N19" s="163">
        <f>+M19*3</f>
        <v>0</v>
      </c>
      <c r="O19" s="74">
        <v>34</v>
      </c>
      <c r="P19" s="75">
        <f t="shared" si="2"/>
        <v>150</v>
      </c>
      <c r="Q19" s="50"/>
      <c r="R19" s="9">
        <f t="shared" si="1"/>
        <v>150</v>
      </c>
      <c r="S19" s="107"/>
      <c r="T19" s="5"/>
      <c r="U19" s="10"/>
      <c r="X19" s="37"/>
    </row>
    <row r="20" spans="1:24">
      <c r="H20" s="141"/>
      <c r="I20" s="25" t="s">
        <v>10</v>
      </c>
      <c r="J20" s="96" t="s">
        <v>129</v>
      </c>
      <c r="K20" s="35"/>
      <c r="L20" s="55"/>
      <c r="M20" s="164"/>
      <c r="N20" s="163">
        <f>5*M20</f>
        <v>0</v>
      </c>
      <c r="O20" s="74"/>
      <c r="P20" s="75">
        <f t="shared" si="2"/>
        <v>0</v>
      </c>
      <c r="Q20" s="112"/>
      <c r="R20" s="9">
        <f t="shared" si="1"/>
        <v>0</v>
      </c>
      <c r="S20" s="107"/>
      <c r="T20" s="5"/>
      <c r="U20" s="58"/>
      <c r="V20" s="59"/>
      <c r="W20" s="60"/>
      <c r="X20" s="61"/>
    </row>
    <row r="21" spans="1:24">
      <c r="H21" s="142"/>
      <c r="I21" s="25" t="s">
        <v>4</v>
      </c>
      <c r="J21" s="81" t="s">
        <v>111</v>
      </c>
      <c r="K21" s="29"/>
      <c r="L21" s="27"/>
      <c r="M21" s="164"/>
      <c r="N21" s="163">
        <v>0</v>
      </c>
      <c r="O21" s="28">
        <v>34</v>
      </c>
      <c r="P21" s="75">
        <f t="shared" si="2"/>
        <v>150</v>
      </c>
      <c r="Q21" s="49"/>
      <c r="R21" s="11">
        <f t="shared" si="1"/>
        <v>150</v>
      </c>
      <c r="S21" s="107"/>
      <c r="T21" s="5"/>
      <c r="U21" s="103" t="s">
        <v>161</v>
      </c>
    </row>
    <row r="22" spans="1:24">
      <c r="H22" s="83"/>
      <c r="I22" s="25" t="s">
        <v>9</v>
      </c>
      <c r="J22" s="96" t="s">
        <v>128</v>
      </c>
      <c r="K22" s="35"/>
      <c r="L22" s="55"/>
      <c r="M22" s="164"/>
      <c r="N22" s="163">
        <f>+M22*3</f>
        <v>0</v>
      </c>
      <c r="O22" s="74">
        <v>28</v>
      </c>
      <c r="P22" s="75">
        <f t="shared" si="2"/>
        <v>150</v>
      </c>
      <c r="Q22" s="112"/>
      <c r="R22" s="11">
        <f t="shared" si="1"/>
        <v>150</v>
      </c>
      <c r="S22" s="107"/>
      <c r="T22" s="5"/>
      <c r="U22" s="176" t="s">
        <v>158</v>
      </c>
      <c r="V22" s="177" t="s">
        <v>159</v>
      </c>
      <c r="W22" s="178"/>
      <c r="X22" s="174" t="s">
        <v>157</v>
      </c>
    </row>
    <row r="23" spans="1:24">
      <c r="H23" s="83"/>
      <c r="I23" s="126" t="s">
        <v>51</v>
      </c>
      <c r="J23" s="82" t="s">
        <v>134</v>
      </c>
      <c r="K23" s="12"/>
      <c r="L23" s="54"/>
      <c r="M23" s="162"/>
      <c r="N23" s="163">
        <f>+M23*3</f>
        <v>0</v>
      </c>
      <c r="O23" s="76">
        <v>33</v>
      </c>
      <c r="P23" s="75">
        <f t="shared" si="2"/>
        <v>150</v>
      </c>
      <c r="Q23" s="49"/>
      <c r="R23" s="11">
        <f t="shared" si="1"/>
        <v>150</v>
      </c>
      <c r="S23" s="106"/>
      <c r="T23" s="5"/>
      <c r="U23" s="179">
        <v>43480</v>
      </c>
      <c r="V23" s="170">
        <v>1</v>
      </c>
      <c r="W23" s="180"/>
      <c r="X23" s="33" t="s">
        <v>156</v>
      </c>
    </row>
    <row r="24" spans="1:24">
      <c r="H24" s="83"/>
      <c r="I24" s="126" t="s">
        <v>61</v>
      </c>
      <c r="J24" s="80" t="s">
        <v>137</v>
      </c>
      <c r="K24" s="8"/>
      <c r="L24" s="54"/>
      <c r="M24" s="162"/>
      <c r="N24" s="163">
        <v>0</v>
      </c>
      <c r="O24" s="72"/>
      <c r="P24" s="75">
        <f t="shared" si="2"/>
        <v>0</v>
      </c>
      <c r="Q24" s="50"/>
      <c r="R24" s="11">
        <f t="shared" si="1"/>
        <v>0</v>
      </c>
      <c r="S24" s="106"/>
      <c r="T24" s="5"/>
      <c r="U24" s="179">
        <f>1+U23</f>
        <v>43481</v>
      </c>
      <c r="V24" s="170">
        <v>1</v>
      </c>
      <c r="W24" s="181"/>
      <c r="X24" s="33" t="s">
        <v>151</v>
      </c>
    </row>
    <row r="25" spans="1:24">
      <c r="H25" s="83"/>
      <c r="I25" s="25" t="s">
        <v>14</v>
      </c>
      <c r="J25" s="96" t="s">
        <v>125</v>
      </c>
      <c r="K25" s="29"/>
      <c r="L25" s="55"/>
      <c r="M25" s="164"/>
      <c r="N25" s="163">
        <f>+M25*3</f>
        <v>0</v>
      </c>
      <c r="O25" s="74">
        <v>35</v>
      </c>
      <c r="P25" s="75">
        <f t="shared" si="2"/>
        <v>150</v>
      </c>
      <c r="Q25" s="49"/>
      <c r="R25" s="11">
        <f t="shared" si="1"/>
        <v>150</v>
      </c>
      <c r="S25" s="107"/>
      <c r="T25" s="5"/>
      <c r="U25" s="179">
        <f>1+U24</f>
        <v>43482</v>
      </c>
      <c r="V25" s="170">
        <v>1</v>
      </c>
      <c r="W25" s="182"/>
      <c r="X25" s="33" t="s">
        <v>152</v>
      </c>
    </row>
    <row r="26" spans="1:24">
      <c r="H26" s="83"/>
      <c r="I26" s="126" t="s">
        <v>79</v>
      </c>
      <c r="J26" s="82" t="s">
        <v>110</v>
      </c>
      <c r="K26" s="8"/>
      <c r="L26" s="54"/>
      <c r="M26" s="164"/>
      <c r="N26" s="163">
        <v>0</v>
      </c>
      <c r="O26" s="76">
        <v>29</v>
      </c>
      <c r="P26" s="75">
        <f t="shared" si="2"/>
        <v>150</v>
      </c>
      <c r="Q26" s="50"/>
      <c r="R26" s="11">
        <f t="shared" si="1"/>
        <v>150</v>
      </c>
      <c r="S26" s="106"/>
      <c r="T26" s="5"/>
      <c r="U26" s="179">
        <f>1+U25</f>
        <v>43483</v>
      </c>
      <c r="V26" s="170">
        <v>1</v>
      </c>
      <c r="W26" s="181"/>
      <c r="X26" s="33" t="s">
        <v>153</v>
      </c>
    </row>
    <row r="27" spans="1:24">
      <c r="A27" s="4"/>
      <c r="B27" s="4"/>
      <c r="C27" s="4"/>
      <c r="D27" s="3"/>
      <c r="E27" s="4"/>
      <c r="F27" s="40"/>
      <c r="G27" s="4"/>
      <c r="H27" s="83"/>
      <c r="I27" s="25" t="s">
        <v>0</v>
      </c>
      <c r="J27" s="81" t="s">
        <v>108</v>
      </c>
      <c r="K27" s="29"/>
      <c r="L27" s="55"/>
      <c r="M27" s="164"/>
      <c r="N27" s="163">
        <f>+M27*5</f>
        <v>0</v>
      </c>
      <c r="O27" s="74"/>
      <c r="P27" s="75">
        <v>0</v>
      </c>
      <c r="Q27" s="50"/>
      <c r="R27" s="9">
        <f t="shared" si="1"/>
        <v>0</v>
      </c>
      <c r="S27" s="107"/>
      <c r="T27" s="5"/>
      <c r="U27" s="179">
        <f>1+U26</f>
        <v>43484</v>
      </c>
      <c r="V27" s="170">
        <v>0.5</v>
      </c>
      <c r="W27" s="183"/>
      <c r="X27" s="33" t="s">
        <v>154</v>
      </c>
    </row>
    <row r="28" spans="1:24">
      <c r="H28" s="83"/>
      <c r="I28" s="25" t="s">
        <v>45</v>
      </c>
      <c r="J28" s="81" t="s">
        <v>133</v>
      </c>
      <c r="K28" s="26"/>
      <c r="L28" s="55"/>
      <c r="M28" s="164"/>
      <c r="N28" s="163">
        <f>+M28*3</f>
        <v>0</v>
      </c>
      <c r="O28" s="74">
        <v>34</v>
      </c>
      <c r="P28" s="75">
        <f t="shared" ref="P28:P41" si="3">IF(O28&gt;25,150,(O28)*6)</f>
        <v>150</v>
      </c>
      <c r="Q28" s="49"/>
      <c r="R28" s="11">
        <f t="shared" si="1"/>
        <v>150</v>
      </c>
      <c r="S28" s="107"/>
      <c r="T28" s="5"/>
      <c r="U28" s="184"/>
      <c r="V28" s="170">
        <f>SUM(V23:V27)</f>
        <v>4.5</v>
      </c>
      <c r="W28" s="183" t="s">
        <v>148</v>
      </c>
      <c r="X28" s="175" t="s">
        <v>155</v>
      </c>
    </row>
    <row r="29" spans="1:24">
      <c r="H29" s="201" t="s">
        <v>50</v>
      </c>
      <c r="I29" s="21" t="s">
        <v>13</v>
      </c>
      <c r="J29" s="20" t="s">
        <v>121</v>
      </c>
      <c r="K29" s="22"/>
      <c r="L29" s="56"/>
      <c r="M29" s="160"/>
      <c r="N29" s="161">
        <v>0</v>
      </c>
      <c r="O29" s="23"/>
      <c r="P29" s="24">
        <f t="shared" si="3"/>
        <v>0</v>
      </c>
      <c r="Q29" s="51"/>
      <c r="R29" s="24">
        <f t="shared" si="1"/>
        <v>0</v>
      </c>
      <c r="S29" s="108"/>
      <c r="T29" s="5"/>
      <c r="U29" s="184"/>
      <c r="V29" s="171">
        <v>18</v>
      </c>
      <c r="W29" s="185" t="s">
        <v>149</v>
      </c>
      <c r="X29" s="61"/>
    </row>
    <row r="30" spans="1:24" ht="16.5">
      <c r="H30" s="83"/>
      <c r="I30" s="25" t="s">
        <v>31</v>
      </c>
      <c r="J30" s="81" t="s">
        <v>127</v>
      </c>
      <c r="K30" s="29"/>
      <c r="L30" s="55"/>
      <c r="M30" s="164"/>
      <c r="N30" s="163">
        <v>0</v>
      </c>
      <c r="O30" s="74"/>
      <c r="P30" s="75">
        <f t="shared" si="3"/>
        <v>0</v>
      </c>
      <c r="Q30" s="49"/>
      <c r="R30" s="11">
        <f t="shared" si="1"/>
        <v>0</v>
      </c>
      <c r="S30" s="107"/>
      <c r="T30" s="5"/>
      <c r="U30" s="186" t="s">
        <v>160</v>
      </c>
      <c r="V30" s="172">
        <f>+V29/V28</f>
        <v>4</v>
      </c>
      <c r="W30" s="173" t="s">
        <v>150</v>
      </c>
      <c r="X30" s="61"/>
    </row>
    <row r="31" spans="1:24">
      <c r="H31" s="83"/>
      <c r="I31" s="25" t="s">
        <v>30</v>
      </c>
      <c r="J31" s="81" t="s">
        <v>126</v>
      </c>
      <c r="K31" s="29"/>
      <c r="L31" s="55"/>
      <c r="M31" s="164"/>
      <c r="N31" s="163">
        <f>+M31*3</f>
        <v>0</v>
      </c>
      <c r="O31" s="28">
        <v>13</v>
      </c>
      <c r="P31" s="11">
        <f t="shared" si="3"/>
        <v>78</v>
      </c>
      <c r="Q31" s="49"/>
      <c r="R31" s="11">
        <f t="shared" si="1"/>
        <v>78</v>
      </c>
      <c r="S31" s="107"/>
      <c r="T31" s="5"/>
      <c r="U31" s="58"/>
      <c r="V31" s="59"/>
      <c r="W31" s="60"/>
      <c r="X31" s="65"/>
    </row>
    <row r="32" spans="1:24" s="4" customFormat="1">
      <c r="A32"/>
      <c r="B32"/>
      <c r="C32"/>
      <c r="D32" s="1"/>
      <c r="E32"/>
      <c r="F32" s="2"/>
      <c r="G32"/>
      <c r="H32" s="83"/>
      <c r="I32" s="25" t="s">
        <v>17</v>
      </c>
      <c r="J32" s="81" t="s">
        <v>123</v>
      </c>
      <c r="K32" s="26"/>
      <c r="L32" s="55"/>
      <c r="M32" s="164"/>
      <c r="N32" s="163">
        <f>+M32*3</f>
        <v>0</v>
      </c>
      <c r="O32" s="74">
        <v>29</v>
      </c>
      <c r="P32" s="75">
        <f t="shared" si="3"/>
        <v>150</v>
      </c>
      <c r="Q32" s="49"/>
      <c r="R32" s="11">
        <f t="shared" si="1"/>
        <v>150</v>
      </c>
      <c r="S32" s="107"/>
      <c r="T32" s="5"/>
      <c r="U32" s="64"/>
      <c r="V32" s="59"/>
      <c r="W32" s="60"/>
      <c r="X32" s="68"/>
    </row>
    <row r="33" spans="8:24">
      <c r="H33" s="83"/>
      <c r="I33" s="25" t="s">
        <v>60</v>
      </c>
      <c r="J33" s="81" t="s">
        <v>132</v>
      </c>
      <c r="K33" s="26"/>
      <c r="L33" s="55"/>
      <c r="M33" s="164"/>
      <c r="N33" s="163">
        <v>0</v>
      </c>
      <c r="O33" s="74"/>
      <c r="P33" s="75">
        <f t="shared" si="3"/>
        <v>0</v>
      </c>
      <c r="Q33" s="49"/>
      <c r="R33" s="11">
        <f t="shared" si="1"/>
        <v>0</v>
      </c>
      <c r="S33" s="107"/>
      <c r="T33" s="5"/>
      <c r="U33" s="58"/>
      <c r="V33" s="66"/>
      <c r="W33" s="67"/>
      <c r="X33" s="69"/>
    </row>
    <row r="34" spans="8:24">
      <c r="H34" s="142"/>
      <c r="I34" s="25" t="s">
        <v>8</v>
      </c>
      <c r="J34" s="81" t="s">
        <v>120</v>
      </c>
      <c r="K34" s="29"/>
      <c r="L34" s="27"/>
      <c r="M34" s="164"/>
      <c r="N34" s="163">
        <v>0</v>
      </c>
      <c r="O34" s="28">
        <v>29</v>
      </c>
      <c r="P34" s="75">
        <f t="shared" si="3"/>
        <v>150</v>
      </c>
      <c r="Q34" s="49"/>
      <c r="R34" s="57">
        <f t="shared" si="1"/>
        <v>150</v>
      </c>
      <c r="S34" s="107"/>
      <c r="T34" s="5"/>
      <c r="U34" s="58"/>
      <c r="V34" s="59"/>
      <c r="W34" s="60"/>
      <c r="X34" s="65"/>
    </row>
    <row r="35" spans="8:24">
      <c r="H35" s="83"/>
      <c r="I35" s="25" t="s">
        <v>11</v>
      </c>
      <c r="J35" s="96" t="s">
        <v>130</v>
      </c>
      <c r="K35" s="35"/>
      <c r="L35" s="55"/>
      <c r="M35" s="164"/>
      <c r="N35" s="163">
        <f>+M35*3</f>
        <v>0</v>
      </c>
      <c r="O35" s="74">
        <v>34</v>
      </c>
      <c r="P35" s="75">
        <f t="shared" si="3"/>
        <v>150</v>
      </c>
      <c r="Q35" s="112"/>
      <c r="R35" s="11">
        <f t="shared" si="1"/>
        <v>150</v>
      </c>
      <c r="S35" s="107"/>
      <c r="T35" s="5"/>
      <c r="U35" s="58"/>
      <c r="V35" s="59">
        <v>17.142900000000001</v>
      </c>
      <c r="W35" s="60"/>
      <c r="X35" s="61"/>
    </row>
    <row r="36" spans="8:24">
      <c r="H36" s="83"/>
      <c r="I36" s="25" t="s">
        <v>48</v>
      </c>
      <c r="J36" s="81" t="s">
        <v>131</v>
      </c>
      <c r="K36" s="26"/>
      <c r="L36" s="55"/>
      <c r="M36" s="164"/>
      <c r="N36" s="163">
        <f>+M36*3</f>
        <v>0</v>
      </c>
      <c r="O36" s="74">
        <v>1</v>
      </c>
      <c r="P36" s="75">
        <f t="shared" si="3"/>
        <v>6</v>
      </c>
      <c r="Q36" s="49"/>
      <c r="R36" s="11">
        <f t="shared" si="1"/>
        <v>6</v>
      </c>
      <c r="S36" s="107"/>
      <c r="T36" s="5"/>
      <c r="U36" s="58"/>
      <c r="V36" s="59">
        <f>+V35/6*7</f>
        <v>20.000050000000002</v>
      </c>
      <c r="W36" s="62"/>
      <c r="X36" s="63"/>
    </row>
    <row r="37" spans="8:24">
      <c r="H37" s="144"/>
      <c r="I37" s="25" t="s">
        <v>84</v>
      </c>
      <c r="J37" s="96" t="s">
        <v>142</v>
      </c>
      <c r="K37" s="145"/>
      <c r="L37" s="55"/>
      <c r="M37" s="164"/>
      <c r="N37" s="163">
        <v>0</v>
      </c>
      <c r="O37" s="28">
        <v>1</v>
      </c>
      <c r="P37" s="11">
        <f t="shared" si="3"/>
        <v>6</v>
      </c>
      <c r="Q37" s="112"/>
      <c r="R37" s="11">
        <f t="shared" si="1"/>
        <v>6</v>
      </c>
      <c r="S37" s="107"/>
      <c r="T37" s="5"/>
      <c r="U37" s="58"/>
      <c r="V37" s="66"/>
      <c r="W37" s="67"/>
      <c r="X37" s="66"/>
    </row>
    <row r="38" spans="8:24">
      <c r="H38" s="83"/>
      <c r="I38" s="25" t="s">
        <v>44</v>
      </c>
      <c r="J38" s="96" t="s">
        <v>124</v>
      </c>
      <c r="K38" s="29"/>
      <c r="L38" s="55"/>
      <c r="M38" s="164"/>
      <c r="N38" s="163">
        <f>+M38*3</f>
        <v>0</v>
      </c>
      <c r="O38" s="113"/>
      <c r="P38" s="75">
        <f t="shared" si="3"/>
        <v>0</v>
      </c>
      <c r="Q38" s="49"/>
      <c r="R38" s="11">
        <f t="shared" si="1"/>
        <v>0</v>
      </c>
      <c r="S38" s="107"/>
      <c r="T38" s="5"/>
      <c r="U38" s="58"/>
      <c r="V38" s="66"/>
      <c r="W38" s="67"/>
      <c r="X38" s="66"/>
    </row>
    <row r="39" spans="8:24">
      <c r="H39" s="81"/>
      <c r="I39" s="25" t="s">
        <v>6</v>
      </c>
      <c r="J39" s="81" t="s">
        <v>116</v>
      </c>
      <c r="K39" s="29"/>
      <c r="L39" s="27"/>
      <c r="M39" s="164"/>
      <c r="N39" s="163">
        <f>+M39*3</f>
        <v>0</v>
      </c>
      <c r="O39" s="28"/>
      <c r="P39" s="75">
        <f t="shared" si="3"/>
        <v>0</v>
      </c>
      <c r="Q39" s="49"/>
      <c r="R39" s="57">
        <f t="shared" si="1"/>
        <v>0</v>
      </c>
      <c r="S39" s="107"/>
      <c r="T39" s="5"/>
      <c r="U39" s="58"/>
      <c r="V39" s="59"/>
      <c r="W39" s="60"/>
      <c r="X39" s="65"/>
    </row>
    <row r="40" spans="8:24">
      <c r="H40" s="187" t="s">
        <v>169</v>
      </c>
      <c r="I40" s="188" t="s">
        <v>53</v>
      </c>
      <c r="J40" s="189" t="s">
        <v>135</v>
      </c>
      <c r="K40" s="190"/>
      <c r="L40" s="191"/>
      <c r="M40" s="192"/>
      <c r="N40" s="193">
        <v>0</v>
      </c>
      <c r="O40" s="194">
        <v>15</v>
      </c>
      <c r="P40" s="193">
        <f t="shared" si="3"/>
        <v>90</v>
      </c>
      <c r="Q40" s="195"/>
      <c r="R40" s="196">
        <f t="shared" si="1"/>
        <v>90</v>
      </c>
      <c r="S40" s="197"/>
      <c r="T40" s="5"/>
      <c r="U40" s="58"/>
      <c r="V40" s="59"/>
      <c r="W40" s="60"/>
      <c r="X40" s="65"/>
    </row>
    <row r="41" spans="8:24">
      <c r="H41" s="81"/>
      <c r="I41" s="120" t="s">
        <v>12</v>
      </c>
      <c r="J41" s="150" t="s">
        <v>114</v>
      </c>
      <c r="K41" s="151"/>
      <c r="L41" s="146"/>
      <c r="M41" s="165"/>
      <c r="N41" s="166">
        <v>0</v>
      </c>
      <c r="O41" s="122">
        <v>35</v>
      </c>
      <c r="P41" s="147">
        <f t="shared" si="3"/>
        <v>150</v>
      </c>
      <c r="Q41" s="153"/>
      <c r="R41" s="124">
        <f t="shared" si="1"/>
        <v>150</v>
      </c>
      <c r="S41" s="148"/>
      <c r="T41" s="5"/>
      <c r="U41" s="58"/>
      <c r="V41" s="59"/>
      <c r="W41" s="60"/>
      <c r="X41" s="61"/>
    </row>
    <row r="42" spans="8:24">
      <c r="I42" s="13"/>
      <c r="J42" s="14"/>
      <c r="K42" s="17">
        <f t="shared" ref="K42:S42" si="4">SUM(K5:K41)</f>
        <v>0</v>
      </c>
      <c r="L42" s="18">
        <f t="shared" si="4"/>
        <v>0</v>
      </c>
      <c r="M42" s="167">
        <f t="shared" si="4"/>
        <v>0</v>
      </c>
      <c r="N42" s="168">
        <f t="shared" si="4"/>
        <v>0</v>
      </c>
      <c r="O42" s="77">
        <f t="shared" si="4"/>
        <v>621</v>
      </c>
      <c r="P42" s="78">
        <f t="shared" si="4"/>
        <v>3000</v>
      </c>
      <c r="Q42" s="16">
        <f t="shared" si="4"/>
        <v>0</v>
      </c>
      <c r="R42" s="78">
        <f t="shared" si="4"/>
        <v>3000</v>
      </c>
      <c r="S42" s="102">
        <f t="shared" si="4"/>
        <v>0</v>
      </c>
      <c r="T42" s="5"/>
      <c r="U42" s="58"/>
      <c r="V42" s="59"/>
      <c r="W42" s="60"/>
      <c r="X42" s="61"/>
    </row>
    <row r="43" spans="8:24">
      <c r="J43" s="200">
        <f ca="1">TODAY()</f>
        <v>43825</v>
      </c>
      <c r="K43" s="41"/>
      <c r="M43" s="42"/>
      <c r="N43" s="41"/>
      <c r="O43" s="45" t="s">
        <v>81</v>
      </c>
      <c r="Q43" s="42"/>
      <c r="R43" s="45">
        <f>+R17+R29+R40</f>
        <v>228</v>
      </c>
      <c r="T43" s="5"/>
      <c r="U43" s="58"/>
      <c r="V43" s="59"/>
      <c r="W43" s="60"/>
      <c r="X43" s="65"/>
    </row>
    <row r="44" spans="8:24">
      <c r="L44" s="43"/>
      <c r="M44" s="44"/>
      <c r="N44" s="125"/>
      <c r="O44" s="43" t="s">
        <v>91</v>
      </c>
      <c r="P44" s="114"/>
      <c r="Q44" s="110" t="s">
        <v>58</v>
      </c>
      <c r="R44" s="111">
        <f>+R42-R43</f>
        <v>2772</v>
      </c>
      <c r="S44" s="109"/>
      <c r="T44" s="5"/>
      <c r="U44" s="58"/>
      <c r="V44" s="59"/>
      <c r="W44" s="62"/>
      <c r="X44" s="60"/>
    </row>
    <row r="45" spans="8:24">
      <c r="P45" s="19"/>
      <c r="U45" s="58"/>
      <c r="V45" s="59"/>
      <c r="W45" s="62"/>
      <c r="X45" s="60"/>
    </row>
    <row r="46" spans="8:24">
      <c r="I46" s="123" t="s">
        <v>86</v>
      </c>
      <c r="P46" s="19"/>
      <c r="U46" s="64"/>
      <c r="V46" s="59"/>
      <c r="W46" s="60"/>
      <c r="X46" s="68"/>
    </row>
    <row r="47" spans="8:24">
      <c r="I47" s="123" t="s">
        <v>87</v>
      </c>
      <c r="P47" s="19"/>
      <c r="U47" s="58"/>
      <c r="V47" s="66"/>
      <c r="W47" s="67"/>
      <c r="X47" s="69"/>
    </row>
    <row r="48" spans="8:24">
      <c r="I48" s="123" t="s">
        <v>88</v>
      </c>
      <c r="P48" s="19"/>
      <c r="U48" s="60"/>
      <c r="V48" s="59"/>
      <c r="W48" s="60"/>
      <c r="X48" s="60"/>
    </row>
    <row r="49" spans="9:24">
      <c r="I49" s="123" t="s">
        <v>89</v>
      </c>
      <c r="P49" s="19"/>
      <c r="U49" s="60"/>
      <c r="V49" s="59"/>
      <c r="W49" s="60"/>
      <c r="X49" s="60"/>
    </row>
    <row r="50" spans="9:24">
      <c r="I50" s="123" t="s">
        <v>90</v>
      </c>
      <c r="P50" s="19"/>
      <c r="U50" s="60"/>
      <c r="V50" s="59"/>
      <c r="W50" s="60"/>
      <c r="X50" s="60"/>
    </row>
    <row r="51" spans="9:24">
      <c r="U51" s="60"/>
      <c r="V51" s="59"/>
      <c r="W51" s="60"/>
      <c r="X51" s="60"/>
    </row>
    <row r="52" spans="9:24">
      <c r="P52" s="19"/>
      <c r="U52" s="60"/>
      <c r="V52" s="59"/>
      <c r="W52" s="60"/>
      <c r="X52" s="60"/>
    </row>
    <row r="53" spans="9:24">
      <c r="P53" s="19"/>
      <c r="U53" s="60"/>
      <c r="V53" s="59"/>
      <c r="W53" s="60"/>
      <c r="X53" s="60"/>
    </row>
    <row r="54" spans="9:24">
      <c r="P54" s="19"/>
      <c r="U54" s="60"/>
      <c r="V54" s="59"/>
      <c r="W54" s="60"/>
      <c r="X54" s="60"/>
    </row>
    <row r="55" spans="9:24">
      <c r="U55" s="60"/>
      <c r="V55" s="59"/>
      <c r="W55" s="60"/>
      <c r="X55" s="60"/>
    </row>
  </sheetData>
  <mergeCells count="4">
    <mergeCell ref="I2:R2"/>
    <mergeCell ref="K3:N3"/>
    <mergeCell ref="O3:P3"/>
    <mergeCell ref="T3:V3"/>
  </mergeCells>
  <conditionalFormatting sqref="R5">
    <cfRule type="cellIs" dxfId="22" priority="2" operator="lessThanOrEqual">
      <formula>0</formula>
    </cfRule>
  </conditionalFormatting>
  <conditionalFormatting sqref="R40:R41 R5:R38">
    <cfRule type="cellIs" dxfId="21" priority="1" operator="greaterThan">
      <formula>0</formula>
    </cfRule>
  </conditionalFormatting>
  <printOptions horizontalCentered="1"/>
  <pageMargins left="0" right="0" top="0.83" bottom="0" header="0" footer="0"/>
  <pageSetup paperSize="9" scale="86" orientation="portrait" r:id="rId1"/>
  <ignoredErrors>
    <ignoredError sqref="N18:N19" formula="1"/>
  </ignoredErrors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55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O55" sqref="O5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10.85546875" bestFit="1" customWidth="1"/>
    <col min="9" max="9" width="8.7109375" customWidth="1"/>
    <col min="10" max="10" width="24.140625" customWidth="1"/>
    <col min="11" max="12" width="3.7109375" customWidth="1"/>
    <col min="13" max="13" width="7" bestFit="1" customWidth="1"/>
    <col min="14" max="14" width="11.28515625" customWidth="1"/>
    <col min="15" max="15" width="7" bestFit="1" customWidth="1"/>
    <col min="16" max="16" width="11.42578125" customWidth="1"/>
    <col min="17" max="17" width="10.85546875" customWidth="1"/>
    <col min="18" max="18" width="13.85546875" customWidth="1"/>
    <col min="19" max="19" width="4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4" ht="5.0999999999999996" customHeight="1"/>
    <row r="2" spans="8:24">
      <c r="H2" s="83"/>
      <c r="I2" s="439" t="s">
        <v>175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4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4" ht="45">
      <c r="H4" s="83" t="s">
        <v>143</v>
      </c>
      <c r="I4" s="86" t="s">
        <v>7</v>
      </c>
      <c r="J4" s="86" t="s">
        <v>3</v>
      </c>
      <c r="K4" s="97"/>
      <c r="L4" s="98"/>
      <c r="M4" s="198" t="s">
        <v>15</v>
      </c>
      <c r="N4" s="198" t="s">
        <v>178</v>
      </c>
      <c r="O4" s="87" t="s">
        <v>15</v>
      </c>
      <c r="P4" s="87" t="s">
        <v>177</v>
      </c>
      <c r="Q4" s="99" t="s">
        <v>176</v>
      </c>
      <c r="R4" s="88" t="s">
        <v>103</v>
      </c>
      <c r="S4" s="140" t="s">
        <v>104</v>
      </c>
      <c r="T4" s="89"/>
      <c r="U4" s="83"/>
      <c r="V4" s="83"/>
    </row>
    <row r="5" spans="8:24">
      <c r="H5" s="83"/>
      <c r="I5" s="126" t="s">
        <v>5</v>
      </c>
      <c r="J5" s="80" t="s">
        <v>117</v>
      </c>
      <c r="K5" s="8"/>
      <c r="L5" s="54"/>
      <c r="M5" s="162"/>
      <c r="N5" s="163">
        <f>+M5*3</f>
        <v>0</v>
      </c>
      <c r="O5" s="76">
        <v>35</v>
      </c>
      <c r="P5" s="75">
        <f t="shared" ref="P5:P14" si="0">IF(O5&gt;25,150,(O5)*6)</f>
        <v>150</v>
      </c>
      <c r="Q5" s="50"/>
      <c r="R5" s="11">
        <f t="shared" ref="R5:R41" si="1">+L5+N5+P5+Q5</f>
        <v>150</v>
      </c>
      <c r="S5" s="106"/>
      <c r="T5" s="5"/>
      <c r="U5" s="92">
        <v>828</v>
      </c>
      <c r="V5" s="93">
        <v>107.64</v>
      </c>
      <c r="W5" s="94">
        <v>720.36</v>
      </c>
      <c r="X5" s="70" t="s">
        <v>36</v>
      </c>
    </row>
    <row r="6" spans="8:24">
      <c r="H6" s="83"/>
      <c r="I6" s="126" t="s">
        <v>82</v>
      </c>
      <c r="J6" s="80" t="s">
        <v>141</v>
      </c>
      <c r="K6" s="8"/>
      <c r="L6" s="54"/>
      <c r="M6" s="162"/>
      <c r="N6" s="163">
        <f>+M6*3</f>
        <v>0</v>
      </c>
      <c r="O6" s="76"/>
      <c r="P6" s="75">
        <f t="shared" si="0"/>
        <v>0</v>
      </c>
      <c r="Q6" s="50"/>
      <c r="R6" s="11">
        <f t="shared" si="1"/>
        <v>0</v>
      </c>
      <c r="S6" s="106"/>
      <c r="T6" s="5"/>
      <c r="U6" s="30">
        <f>+V6+W6</f>
        <v>827.58620689655174</v>
      </c>
      <c r="V6" s="71">
        <f>+V5*W6/W5</f>
        <v>107.58620689655173</v>
      </c>
      <c r="W6" s="31">
        <v>720</v>
      </c>
      <c r="X6" s="36"/>
    </row>
    <row r="7" spans="8:24">
      <c r="H7" s="83"/>
      <c r="I7" s="126" t="s">
        <v>64</v>
      </c>
      <c r="J7" s="80" t="s">
        <v>138</v>
      </c>
      <c r="K7" s="8"/>
      <c r="L7" s="54"/>
      <c r="M7" s="162"/>
      <c r="N7" s="163">
        <f>+M7*3</f>
        <v>0</v>
      </c>
      <c r="O7" s="76">
        <v>35</v>
      </c>
      <c r="P7" s="75">
        <f t="shared" si="0"/>
        <v>150</v>
      </c>
      <c r="Q7" s="50"/>
      <c r="R7" s="11">
        <f t="shared" si="1"/>
        <v>150</v>
      </c>
      <c r="S7" s="106"/>
      <c r="T7" s="5"/>
      <c r="U7" s="32">
        <f>+U5-U6</f>
        <v>0.41379310344825626</v>
      </c>
      <c r="V7" s="47"/>
      <c r="W7" s="33"/>
      <c r="X7" s="4" t="s">
        <v>59</v>
      </c>
    </row>
    <row r="8" spans="8:24">
      <c r="H8" s="83"/>
      <c r="I8" s="25" t="s">
        <v>2</v>
      </c>
      <c r="J8" s="81" t="s">
        <v>107</v>
      </c>
      <c r="K8" s="29"/>
      <c r="L8" s="55"/>
      <c r="M8" s="164"/>
      <c r="N8" s="163">
        <f>+M8*3</f>
        <v>0</v>
      </c>
      <c r="O8" s="74">
        <v>46</v>
      </c>
      <c r="P8" s="75">
        <f t="shared" si="0"/>
        <v>150</v>
      </c>
      <c r="Q8" s="50"/>
      <c r="R8" s="9">
        <f t="shared" si="1"/>
        <v>150</v>
      </c>
      <c r="S8" s="138"/>
      <c r="T8" s="5"/>
      <c r="U8" s="34">
        <v>150</v>
      </c>
      <c r="V8" s="38">
        <f>+U8-U7</f>
        <v>149.58620689655174</v>
      </c>
      <c r="W8" s="39" t="s">
        <v>63</v>
      </c>
      <c r="X8" s="6">
        <f>150-V8</f>
        <v>0.41379310344825626</v>
      </c>
    </row>
    <row r="9" spans="8:24">
      <c r="H9" s="95"/>
      <c r="I9" s="25" t="s">
        <v>42</v>
      </c>
      <c r="J9" s="81" t="s">
        <v>119</v>
      </c>
      <c r="K9" s="26"/>
      <c r="L9" s="27"/>
      <c r="M9" s="164"/>
      <c r="N9" s="163">
        <f>+M9*3</f>
        <v>0</v>
      </c>
      <c r="O9" s="28">
        <v>6</v>
      </c>
      <c r="P9" s="75">
        <f t="shared" si="0"/>
        <v>36</v>
      </c>
      <c r="Q9" s="49"/>
      <c r="R9" s="11">
        <f t="shared" si="1"/>
        <v>36</v>
      </c>
      <c r="S9" s="107"/>
      <c r="T9" s="5"/>
      <c r="U9" s="10"/>
      <c r="X9" s="37"/>
    </row>
    <row r="10" spans="8:24" ht="15" customHeight="1">
      <c r="H10" s="83"/>
      <c r="I10" s="25" t="s">
        <v>1</v>
      </c>
      <c r="J10" s="81" t="s">
        <v>106</v>
      </c>
      <c r="K10" s="29"/>
      <c r="L10" s="55"/>
      <c r="M10" s="164"/>
      <c r="N10" s="163">
        <f>3*M10</f>
        <v>0</v>
      </c>
      <c r="O10" s="74"/>
      <c r="P10" s="75">
        <f t="shared" si="0"/>
        <v>0</v>
      </c>
      <c r="Q10" s="50"/>
      <c r="R10" s="9">
        <f t="shared" si="1"/>
        <v>0</v>
      </c>
      <c r="S10" s="107"/>
      <c r="T10" s="5"/>
      <c r="U10" s="92">
        <v>856</v>
      </c>
      <c r="V10" s="93">
        <v>110.51</v>
      </c>
      <c r="W10" s="94">
        <v>745.49</v>
      </c>
      <c r="X10" s="70" t="s">
        <v>35</v>
      </c>
    </row>
    <row r="11" spans="8:24">
      <c r="H11" s="141"/>
      <c r="I11" s="126" t="s">
        <v>56</v>
      </c>
      <c r="J11" s="80" t="s">
        <v>136</v>
      </c>
      <c r="K11" s="8"/>
      <c r="L11" s="54"/>
      <c r="M11" s="162"/>
      <c r="N11" s="163">
        <v>0</v>
      </c>
      <c r="O11" s="74">
        <v>26</v>
      </c>
      <c r="P11" s="75">
        <f t="shared" si="0"/>
        <v>150</v>
      </c>
      <c r="Q11" s="50"/>
      <c r="R11" s="9">
        <f t="shared" si="1"/>
        <v>150</v>
      </c>
      <c r="S11" s="107"/>
      <c r="T11" s="5"/>
      <c r="U11" s="30">
        <f>+V11+W11</f>
        <v>826.7314115548163</v>
      </c>
      <c r="V11" s="71">
        <f>+V10*W11/W10</f>
        <v>106.73141155481629</v>
      </c>
      <c r="W11" s="31">
        <v>720</v>
      </c>
      <c r="X11" s="37"/>
    </row>
    <row r="12" spans="8:24">
      <c r="H12" s="95"/>
      <c r="I12" s="25" t="s">
        <v>16</v>
      </c>
      <c r="J12" s="81" t="s">
        <v>113</v>
      </c>
      <c r="K12" s="29"/>
      <c r="L12" s="54"/>
      <c r="M12" s="164"/>
      <c r="N12" s="163">
        <v>0</v>
      </c>
      <c r="O12" s="28"/>
      <c r="P12" s="75">
        <f t="shared" si="0"/>
        <v>0</v>
      </c>
      <c r="Q12" s="49"/>
      <c r="R12" s="11">
        <f t="shared" si="1"/>
        <v>0</v>
      </c>
      <c r="S12" s="106"/>
      <c r="T12" s="5"/>
      <c r="U12" s="32">
        <f>+U10-U11</f>
        <v>29.268588445183696</v>
      </c>
      <c r="V12" s="47"/>
      <c r="W12" s="33"/>
      <c r="X12" s="4" t="s">
        <v>59</v>
      </c>
    </row>
    <row r="13" spans="8:24">
      <c r="H13" s="83"/>
      <c r="I13" s="25" t="s">
        <v>92</v>
      </c>
      <c r="J13" s="81" t="s">
        <v>109</v>
      </c>
      <c r="K13" s="29"/>
      <c r="L13" s="55"/>
      <c r="M13" s="164"/>
      <c r="N13" s="163">
        <f>M13*3</f>
        <v>0</v>
      </c>
      <c r="O13" s="74">
        <v>2</v>
      </c>
      <c r="P13" s="75">
        <f t="shared" si="0"/>
        <v>12</v>
      </c>
      <c r="Q13" s="50"/>
      <c r="R13" s="9">
        <f t="shared" si="1"/>
        <v>12</v>
      </c>
      <c r="S13" s="107"/>
      <c r="T13" s="5"/>
      <c r="U13" s="34">
        <v>150</v>
      </c>
      <c r="V13" s="38">
        <f>+U13-U12</f>
        <v>120.7314115548163</v>
      </c>
      <c r="W13" s="39" t="s">
        <v>63</v>
      </c>
      <c r="X13" s="6">
        <f>150-V13</f>
        <v>29.268588445183696</v>
      </c>
    </row>
    <row r="14" spans="8:24">
      <c r="H14" s="95"/>
      <c r="I14" s="25" t="s">
        <v>20</v>
      </c>
      <c r="J14" s="81" t="s">
        <v>115</v>
      </c>
      <c r="K14" s="29"/>
      <c r="L14" s="27"/>
      <c r="M14" s="164"/>
      <c r="N14" s="163">
        <f>+M14*3</f>
        <v>0</v>
      </c>
      <c r="O14" s="28"/>
      <c r="P14" s="75">
        <f t="shared" si="0"/>
        <v>0</v>
      </c>
      <c r="Q14" s="49"/>
      <c r="R14" s="9">
        <f t="shared" si="1"/>
        <v>0</v>
      </c>
      <c r="S14" s="107"/>
      <c r="T14" s="5"/>
      <c r="U14" s="10"/>
      <c r="X14" s="37"/>
    </row>
    <row r="15" spans="8:24">
      <c r="H15" s="95"/>
      <c r="I15" s="25" t="s">
        <v>69</v>
      </c>
      <c r="J15" s="81" t="s">
        <v>162</v>
      </c>
      <c r="K15" s="26"/>
      <c r="L15" s="55"/>
      <c r="M15" s="164"/>
      <c r="N15" s="163">
        <v>0</v>
      </c>
      <c r="O15" s="28"/>
      <c r="P15" s="75"/>
      <c r="Q15" s="49"/>
      <c r="R15" s="11">
        <f t="shared" si="1"/>
        <v>0</v>
      </c>
      <c r="S15" s="107"/>
      <c r="T15" s="5"/>
      <c r="U15" s="92">
        <f>644+150</f>
        <v>794</v>
      </c>
      <c r="V15" s="93">
        <v>0</v>
      </c>
      <c r="W15" s="101">
        <v>769.08</v>
      </c>
      <c r="X15" s="100" t="s">
        <v>21</v>
      </c>
    </row>
    <row r="16" spans="8:24">
      <c r="H16" s="95"/>
      <c r="I16" s="25" t="s">
        <v>25</v>
      </c>
      <c r="J16" s="81" t="s">
        <v>118</v>
      </c>
      <c r="K16" s="26"/>
      <c r="L16" s="27"/>
      <c r="M16" s="164"/>
      <c r="N16" s="163">
        <f>+M16*3</f>
        <v>0</v>
      </c>
      <c r="O16" s="28">
        <v>27</v>
      </c>
      <c r="P16" s="75">
        <f t="shared" ref="P16:P26" si="2">IF(O16&gt;25,150,(O16)*6)</f>
        <v>150</v>
      </c>
      <c r="Q16" s="49"/>
      <c r="R16" s="11">
        <f t="shared" si="1"/>
        <v>150</v>
      </c>
      <c r="S16" s="107"/>
      <c r="T16" s="5"/>
      <c r="U16" s="30">
        <f>+V16+W16</f>
        <v>720</v>
      </c>
      <c r="V16" s="71">
        <f>+V15*W16/W15</f>
        <v>0</v>
      </c>
      <c r="W16" s="31">
        <v>720</v>
      </c>
      <c r="X16" s="37"/>
    </row>
    <row r="17" spans="1:24">
      <c r="H17" s="187" t="s">
        <v>179</v>
      </c>
      <c r="I17" s="188" t="s">
        <v>41</v>
      </c>
      <c r="J17" s="189" t="s">
        <v>112</v>
      </c>
      <c r="K17" s="190"/>
      <c r="L17" s="191"/>
      <c r="M17" s="192"/>
      <c r="N17" s="193">
        <f>+M17*3</f>
        <v>0</v>
      </c>
      <c r="O17" s="194">
        <v>35</v>
      </c>
      <c r="P17" s="193">
        <f t="shared" si="2"/>
        <v>150</v>
      </c>
      <c r="Q17" s="195"/>
      <c r="R17" s="196">
        <f t="shared" si="1"/>
        <v>150</v>
      </c>
      <c r="S17" s="197"/>
      <c r="T17" s="5"/>
      <c r="U17" s="32">
        <f>+U15-U16</f>
        <v>74</v>
      </c>
      <c r="V17" s="47"/>
      <c r="W17" s="33"/>
      <c r="X17" s="4" t="s">
        <v>59</v>
      </c>
    </row>
    <row r="18" spans="1:24">
      <c r="H18" s="83"/>
      <c r="I18" s="126" t="s">
        <v>71</v>
      </c>
      <c r="J18" s="80" t="s">
        <v>139</v>
      </c>
      <c r="K18" s="8"/>
      <c r="L18" s="54"/>
      <c r="M18" s="162"/>
      <c r="N18" s="163">
        <f>5*M18</f>
        <v>0</v>
      </c>
      <c r="O18" s="76">
        <v>1</v>
      </c>
      <c r="P18" s="75">
        <f t="shared" si="2"/>
        <v>6</v>
      </c>
      <c r="Q18" s="50"/>
      <c r="R18" s="11">
        <f t="shared" si="1"/>
        <v>6</v>
      </c>
      <c r="S18" s="106"/>
      <c r="T18" s="5"/>
      <c r="U18" s="34">
        <v>150</v>
      </c>
      <c r="V18" s="38">
        <f>+U18-U17</f>
        <v>76</v>
      </c>
      <c r="W18" s="39" t="s">
        <v>63</v>
      </c>
      <c r="X18" s="6">
        <f>150-V18</f>
        <v>74</v>
      </c>
    </row>
    <row r="19" spans="1:24">
      <c r="H19" s="141"/>
      <c r="I19" s="25" t="s">
        <v>28</v>
      </c>
      <c r="J19" s="81" t="s">
        <v>122</v>
      </c>
      <c r="K19" s="29"/>
      <c r="L19" s="55"/>
      <c r="M19" s="164"/>
      <c r="N19" s="163">
        <f>+M19*3</f>
        <v>0</v>
      </c>
      <c r="O19" s="74"/>
      <c r="P19" s="75">
        <f t="shared" si="2"/>
        <v>0</v>
      </c>
      <c r="Q19" s="50"/>
      <c r="R19" s="9">
        <f t="shared" si="1"/>
        <v>0</v>
      </c>
      <c r="S19" s="107"/>
      <c r="T19" s="5"/>
      <c r="U19" s="10"/>
      <c r="X19" s="37"/>
    </row>
    <row r="20" spans="1:24">
      <c r="H20" s="141"/>
      <c r="I20" s="25" t="s">
        <v>10</v>
      </c>
      <c r="J20" s="96" t="s">
        <v>129</v>
      </c>
      <c r="K20" s="35"/>
      <c r="L20" s="55"/>
      <c r="M20" s="164"/>
      <c r="N20" s="163">
        <f>5*M20</f>
        <v>0</v>
      </c>
      <c r="O20" s="74"/>
      <c r="P20" s="75">
        <f t="shared" si="2"/>
        <v>0</v>
      </c>
      <c r="Q20" s="112"/>
      <c r="R20" s="9">
        <f t="shared" si="1"/>
        <v>0</v>
      </c>
      <c r="S20" s="107"/>
      <c r="T20" s="5"/>
      <c r="U20" s="58"/>
      <c r="V20" s="59"/>
      <c r="W20" s="60"/>
      <c r="X20" s="61"/>
    </row>
    <row r="21" spans="1:24">
      <c r="H21" s="142"/>
      <c r="I21" s="25" t="s">
        <v>4</v>
      </c>
      <c r="J21" s="81" t="s">
        <v>111</v>
      </c>
      <c r="K21" s="29"/>
      <c r="L21" s="27"/>
      <c r="M21" s="164"/>
      <c r="N21" s="163">
        <v>0</v>
      </c>
      <c r="O21" s="28">
        <v>32</v>
      </c>
      <c r="P21" s="75">
        <f t="shared" si="2"/>
        <v>150</v>
      </c>
      <c r="Q21" s="49"/>
      <c r="R21" s="11">
        <f t="shared" si="1"/>
        <v>150</v>
      </c>
      <c r="S21" s="107"/>
      <c r="T21" s="5"/>
      <c r="U21" s="103" t="s">
        <v>161</v>
      </c>
    </row>
    <row r="22" spans="1:24">
      <c r="H22" s="83"/>
      <c r="I22" s="25" t="s">
        <v>9</v>
      </c>
      <c r="J22" s="96" t="s">
        <v>128</v>
      </c>
      <c r="K22" s="35"/>
      <c r="L22" s="55"/>
      <c r="M22" s="164"/>
      <c r="N22" s="163">
        <f>+M22*3</f>
        <v>0</v>
      </c>
      <c r="O22" s="74">
        <v>31</v>
      </c>
      <c r="P22" s="75">
        <f t="shared" si="2"/>
        <v>150</v>
      </c>
      <c r="Q22" s="112"/>
      <c r="R22" s="11">
        <f t="shared" si="1"/>
        <v>150</v>
      </c>
      <c r="S22" s="107"/>
      <c r="T22" s="5"/>
      <c r="U22" s="176" t="s">
        <v>158</v>
      </c>
      <c r="V22" s="177" t="s">
        <v>159</v>
      </c>
      <c r="W22" s="178"/>
      <c r="X22" s="174" t="s">
        <v>157</v>
      </c>
    </row>
    <row r="23" spans="1:24">
      <c r="H23" s="83"/>
      <c r="I23" s="126" t="s">
        <v>51</v>
      </c>
      <c r="J23" s="82" t="s">
        <v>134</v>
      </c>
      <c r="K23" s="12"/>
      <c r="L23" s="54"/>
      <c r="M23" s="162"/>
      <c r="N23" s="163">
        <f>+M23*3</f>
        <v>0</v>
      </c>
      <c r="O23" s="76">
        <v>30</v>
      </c>
      <c r="P23" s="75">
        <f t="shared" si="2"/>
        <v>150</v>
      </c>
      <c r="Q23" s="49"/>
      <c r="R23" s="11">
        <f t="shared" si="1"/>
        <v>150</v>
      </c>
      <c r="S23" s="106"/>
      <c r="T23" s="5"/>
      <c r="U23" s="179">
        <v>43480</v>
      </c>
      <c r="V23" s="170">
        <v>1</v>
      </c>
      <c r="W23" s="180"/>
      <c r="X23" s="33" t="s">
        <v>156</v>
      </c>
    </row>
    <row r="24" spans="1:24">
      <c r="H24" s="83"/>
      <c r="I24" s="126" t="s">
        <v>61</v>
      </c>
      <c r="J24" s="80" t="s">
        <v>137</v>
      </c>
      <c r="K24" s="8"/>
      <c r="L24" s="54"/>
      <c r="M24" s="162"/>
      <c r="N24" s="163">
        <v>0</v>
      </c>
      <c r="O24" s="72"/>
      <c r="P24" s="75">
        <f t="shared" si="2"/>
        <v>0</v>
      </c>
      <c r="Q24" s="50"/>
      <c r="R24" s="11">
        <f t="shared" si="1"/>
        <v>0</v>
      </c>
      <c r="S24" s="106"/>
      <c r="T24" s="5"/>
      <c r="U24" s="179">
        <f>1+U23</f>
        <v>43481</v>
      </c>
      <c r="V24" s="170">
        <v>1</v>
      </c>
      <c r="W24" s="181"/>
      <c r="X24" s="33" t="s">
        <v>151</v>
      </c>
    </row>
    <row r="25" spans="1:24">
      <c r="H25" s="83"/>
      <c r="I25" s="25" t="s">
        <v>14</v>
      </c>
      <c r="J25" s="96" t="s">
        <v>125</v>
      </c>
      <c r="K25" s="29"/>
      <c r="L25" s="55"/>
      <c r="M25" s="164"/>
      <c r="N25" s="163">
        <f>+M25*3</f>
        <v>0</v>
      </c>
      <c r="O25" s="74">
        <v>32</v>
      </c>
      <c r="P25" s="75">
        <f t="shared" si="2"/>
        <v>150</v>
      </c>
      <c r="Q25" s="49"/>
      <c r="R25" s="11">
        <f t="shared" si="1"/>
        <v>150</v>
      </c>
      <c r="S25" s="107"/>
      <c r="T25" s="5"/>
      <c r="U25" s="179">
        <f>1+U24</f>
        <v>43482</v>
      </c>
      <c r="V25" s="170">
        <v>1</v>
      </c>
      <c r="W25" s="182"/>
      <c r="X25" s="33" t="s">
        <v>152</v>
      </c>
    </row>
    <row r="26" spans="1:24">
      <c r="H26" s="83"/>
      <c r="I26" s="126" t="s">
        <v>79</v>
      </c>
      <c r="J26" s="82" t="s">
        <v>110</v>
      </c>
      <c r="K26" s="8"/>
      <c r="L26" s="54"/>
      <c r="M26" s="164"/>
      <c r="N26" s="163">
        <v>0</v>
      </c>
      <c r="O26" s="76">
        <v>32</v>
      </c>
      <c r="P26" s="75">
        <f t="shared" si="2"/>
        <v>150</v>
      </c>
      <c r="Q26" s="50"/>
      <c r="R26" s="11">
        <f t="shared" si="1"/>
        <v>150</v>
      </c>
      <c r="S26" s="106"/>
      <c r="T26" s="5"/>
      <c r="U26" s="179">
        <f>1+U25</f>
        <v>43483</v>
      </c>
      <c r="V26" s="170">
        <v>1</v>
      </c>
      <c r="W26" s="181"/>
      <c r="X26" s="33" t="s">
        <v>153</v>
      </c>
    </row>
    <row r="27" spans="1:24">
      <c r="A27" s="4"/>
      <c r="B27" s="4"/>
      <c r="C27" s="4"/>
      <c r="D27" s="3"/>
      <c r="E27" s="4"/>
      <c r="F27" s="40"/>
      <c r="G27" s="4"/>
      <c r="H27" s="83"/>
      <c r="I27" s="25" t="s">
        <v>0</v>
      </c>
      <c r="J27" s="81" t="s">
        <v>108</v>
      </c>
      <c r="K27" s="29"/>
      <c r="L27" s="55"/>
      <c r="M27" s="164"/>
      <c r="N27" s="163">
        <f>+M27*5</f>
        <v>0</v>
      </c>
      <c r="O27" s="74"/>
      <c r="P27" s="75">
        <v>0</v>
      </c>
      <c r="Q27" s="50"/>
      <c r="R27" s="9">
        <f t="shared" si="1"/>
        <v>0</v>
      </c>
      <c r="S27" s="107"/>
      <c r="T27" s="5"/>
      <c r="U27" s="179">
        <f>1+U26</f>
        <v>43484</v>
      </c>
      <c r="V27" s="170">
        <v>0.5</v>
      </c>
      <c r="W27" s="183"/>
      <c r="X27" s="33" t="s">
        <v>154</v>
      </c>
    </row>
    <row r="28" spans="1:24">
      <c r="H28" s="83"/>
      <c r="I28" s="25" t="s">
        <v>45</v>
      </c>
      <c r="J28" s="81" t="s">
        <v>133</v>
      </c>
      <c r="K28" s="26"/>
      <c r="L28" s="55"/>
      <c r="M28" s="164"/>
      <c r="N28" s="163">
        <f>+M28*3</f>
        <v>0</v>
      </c>
      <c r="O28" s="74">
        <v>27</v>
      </c>
      <c r="P28" s="75">
        <f t="shared" ref="P28:P41" si="3">IF(O28&gt;25,150,(O28)*6)</f>
        <v>150</v>
      </c>
      <c r="Q28" s="49"/>
      <c r="R28" s="11">
        <f t="shared" si="1"/>
        <v>150</v>
      </c>
      <c r="S28" s="107"/>
      <c r="T28" s="5"/>
      <c r="U28" s="184"/>
      <c r="V28" s="170">
        <f>SUM(V23:V27)</f>
        <v>4.5</v>
      </c>
      <c r="W28" s="183" t="s">
        <v>148</v>
      </c>
      <c r="X28" s="175" t="s">
        <v>155</v>
      </c>
    </row>
    <row r="29" spans="1:24">
      <c r="H29" s="201" t="s">
        <v>50</v>
      </c>
      <c r="I29" s="21" t="s">
        <v>13</v>
      </c>
      <c r="J29" s="20" t="s">
        <v>121</v>
      </c>
      <c r="K29" s="22"/>
      <c r="L29" s="56"/>
      <c r="M29" s="160"/>
      <c r="N29" s="161">
        <v>0</v>
      </c>
      <c r="O29" s="23"/>
      <c r="P29" s="24">
        <f t="shared" si="3"/>
        <v>0</v>
      </c>
      <c r="Q29" s="51"/>
      <c r="R29" s="24">
        <f t="shared" si="1"/>
        <v>0</v>
      </c>
      <c r="S29" s="108"/>
      <c r="T29" s="5"/>
      <c r="U29" s="184"/>
      <c r="V29" s="171">
        <v>18</v>
      </c>
      <c r="W29" s="185" t="s">
        <v>149</v>
      </c>
      <c r="X29" s="61"/>
    </row>
    <row r="30" spans="1:24" ht="16.5">
      <c r="H30" s="83"/>
      <c r="I30" s="25" t="s">
        <v>31</v>
      </c>
      <c r="J30" s="81" t="s">
        <v>127</v>
      </c>
      <c r="K30" s="29"/>
      <c r="L30" s="55"/>
      <c r="M30" s="164"/>
      <c r="N30" s="163">
        <v>0</v>
      </c>
      <c r="O30" s="74">
        <v>30</v>
      </c>
      <c r="P30" s="75">
        <f t="shared" si="3"/>
        <v>150</v>
      </c>
      <c r="Q30" s="49"/>
      <c r="R30" s="11">
        <f t="shared" si="1"/>
        <v>150</v>
      </c>
      <c r="S30" s="107"/>
      <c r="T30" s="5"/>
      <c r="U30" s="186" t="s">
        <v>160</v>
      </c>
      <c r="V30" s="172">
        <f>+V29/V28</f>
        <v>4</v>
      </c>
      <c r="W30" s="173" t="s">
        <v>150</v>
      </c>
      <c r="X30" s="61"/>
    </row>
    <row r="31" spans="1:24">
      <c r="H31" s="83"/>
      <c r="I31" s="25" t="s">
        <v>30</v>
      </c>
      <c r="J31" s="81" t="s">
        <v>126</v>
      </c>
      <c r="K31" s="29"/>
      <c r="L31" s="55"/>
      <c r="M31" s="164"/>
      <c r="N31" s="163">
        <f>+M31*3</f>
        <v>0</v>
      </c>
      <c r="O31" s="28">
        <v>34</v>
      </c>
      <c r="P31" s="11">
        <f t="shared" si="3"/>
        <v>150</v>
      </c>
      <c r="Q31" s="49"/>
      <c r="R31" s="11">
        <f t="shared" si="1"/>
        <v>150</v>
      </c>
      <c r="S31" s="107"/>
      <c r="T31" s="5"/>
      <c r="U31" s="58"/>
      <c r="V31" s="59"/>
      <c r="W31" s="60"/>
      <c r="X31" s="65"/>
    </row>
    <row r="32" spans="1:24" s="4" customFormat="1">
      <c r="A32"/>
      <c r="B32"/>
      <c r="C32"/>
      <c r="D32" s="1"/>
      <c r="E32"/>
      <c r="F32" s="2"/>
      <c r="G32"/>
      <c r="H32" s="83"/>
      <c r="I32" s="25" t="s">
        <v>17</v>
      </c>
      <c r="J32" s="81" t="s">
        <v>123</v>
      </c>
      <c r="K32" s="26"/>
      <c r="L32" s="55"/>
      <c r="M32" s="164"/>
      <c r="N32" s="163">
        <f>+M32*3</f>
        <v>0</v>
      </c>
      <c r="O32" s="74">
        <v>31</v>
      </c>
      <c r="P32" s="75">
        <f t="shared" si="3"/>
        <v>150</v>
      </c>
      <c r="Q32" s="49"/>
      <c r="R32" s="11">
        <f t="shared" si="1"/>
        <v>150</v>
      </c>
      <c r="S32" s="107"/>
      <c r="T32" s="5"/>
      <c r="U32" s="64"/>
      <c r="V32" s="59"/>
      <c r="W32" s="60"/>
      <c r="X32" s="68"/>
    </row>
    <row r="33" spans="8:24">
      <c r="H33" s="83"/>
      <c r="I33" s="25" t="s">
        <v>60</v>
      </c>
      <c r="J33" s="81" t="s">
        <v>132</v>
      </c>
      <c r="K33" s="26"/>
      <c r="L33" s="55"/>
      <c r="M33" s="164"/>
      <c r="N33" s="163">
        <v>0</v>
      </c>
      <c r="O33" s="74"/>
      <c r="P33" s="75">
        <f t="shared" si="3"/>
        <v>0</v>
      </c>
      <c r="Q33" s="49"/>
      <c r="R33" s="11">
        <f t="shared" si="1"/>
        <v>0</v>
      </c>
      <c r="S33" s="107"/>
      <c r="T33" s="5"/>
      <c r="U33" s="58"/>
      <c r="V33" s="66"/>
      <c r="W33" s="67"/>
      <c r="X33" s="69"/>
    </row>
    <row r="34" spans="8:24">
      <c r="H34" s="142"/>
      <c r="I34" s="25" t="s">
        <v>8</v>
      </c>
      <c r="J34" s="81" t="s">
        <v>120</v>
      </c>
      <c r="K34" s="29"/>
      <c r="L34" s="27"/>
      <c r="M34" s="164"/>
      <c r="N34" s="163">
        <v>0</v>
      </c>
      <c r="O34" s="28">
        <v>30</v>
      </c>
      <c r="P34" s="75">
        <f t="shared" si="3"/>
        <v>150</v>
      </c>
      <c r="Q34" s="49"/>
      <c r="R34" s="57">
        <f t="shared" si="1"/>
        <v>150</v>
      </c>
      <c r="S34" s="107"/>
      <c r="T34" s="5"/>
      <c r="U34" s="58"/>
      <c r="V34" s="59"/>
      <c r="W34" s="60"/>
      <c r="X34" s="65"/>
    </row>
    <row r="35" spans="8:24">
      <c r="H35" s="83"/>
      <c r="I35" s="25" t="s">
        <v>11</v>
      </c>
      <c r="J35" s="96" t="s">
        <v>130</v>
      </c>
      <c r="K35" s="35"/>
      <c r="L35" s="55"/>
      <c r="M35" s="164"/>
      <c r="N35" s="163">
        <f>+M35*3</f>
        <v>0</v>
      </c>
      <c r="O35" s="74">
        <v>31</v>
      </c>
      <c r="P35" s="75">
        <f t="shared" si="3"/>
        <v>150</v>
      </c>
      <c r="Q35" s="112"/>
      <c r="R35" s="11">
        <f t="shared" si="1"/>
        <v>150</v>
      </c>
      <c r="S35" s="107"/>
      <c r="T35" s="5"/>
      <c r="U35" s="58"/>
      <c r="V35" s="59">
        <v>17.142900000000001</v>
      </c>
      <c r="W35" s="60"/>
      <c r="X35" s="61"/>
    </row>
    <row r="36" spans="8:24">
      <c r="H36" s="83"/>
      <c r="I36" s="25" t="s">
        <v>48</v>
      </c>
      <c r="J36" s="81" t="s">
        <v>131</v>
      </c>
      <c r="K36" s="26"/>
      <c r="L36" s="55"/>
      <c r="M36" s="164"/>
      <c r="N36" s="163">
        <f>+M36*3</f>
        <v>0</v>
      </c>
      <c r="O36" s="74">
        <v>22</v>
      </c>
      <c r="P36" s="75">
        <f t="shared" si="3"/>
        <v>132</v>
      </c>
      <c r="Q36" s="49"/>
      <c r="R36" s="11">
        <f t="shared" si="1"/>
        <v>132</v>
      </c>
      <c r="S36" s="107"/>
      <c r="T36" s="5"/>
      <c r="U36" s="58"/>
      <c r="V36" s="59">
        <f>+V35/6*7</f>
        <v>20.000050000000002</v>
      </c>
      <c r="W36" s="62"/>
      <c r="X36" s="63"/>
    </row>
    <row r="37" spans="8:24">
      <c r="H37" s="144"/>
      <c r="I37" s="25" t="s">
        <v>84</v>
      </c>
      <c r="J37" s="96" t="s">
        <v>142</v>
      </c>
      <c r="K37" s="145"/>
      <c r="L37" s="55"/>
      <c r="M37" s="164"/>
      <c r="N37" s="163">
        <v>0</v>
      </c>
      <c r="O37" s="28">
        <v>27</v>
      </c>
      <c r="P37" s="11">
        <f t="shared" si="3"/>
        <v>150</v>
      </c>
      <c r="Q37" s="112"/>
      <c r="R37" s="11">
        <f t="shared" si="1"/>
        <v>150</v>
      </c>
      <c r="S37" s="107"/>
      <c r="T37" s="5"/>
      <c r="U37" s="58"/>
      <c r="V37" s="66"/>
      <c r="W37" s="67"/>
      <c r="X37" s="66"/>
    </row>
    <row r="38" spans="8:24">
      <c r="H38" s="83"/>
      <c r="I38" s="25" t="s">
        <v>44</v>
      </c>
      <c r="J38" s="96" t="s">
        <v>124</v>
      </c>
      <c r="K38" s="29"/>
      <c r="L38" s="55"/>
      <c r="M38" s="164"/>
      <c r="N38" s="163">
        <f>+M38*3</f>
        <v>0</v>
      </c>
      <c r="O38" s="113"/>
      <c r="P38" s="75">
        <f t="shared" si="3"/>
        <v>0</v>
      </c>
      <c r="Q38" s="49"/>
      <c r="R38" s="11">
        <f t="shared" si="1"/>
        <v>0</v>
      </c>
      <c r="S38" s="107"/>
      <c r="T38" s="5"/>
      <c r="U38" s="58"/>
      <c r="V38" s="66"/>
      <c r="W38" s="67"/>
      <c r="X38" s="66"/>
    </row>
    <row r="39" spans="8:24">
      <c r="H39" s="81"/>
      <c r="I39" s="25" t="s">
        <v>6</v>
      </c>
      <c r="J39" s="81" t="s">
        <v>116</v>
      </c>
      <c r="K39" s="29"/>
      <c r="L39" s="27"/>
      <c r="M39" s="164"/>
      <c r="N39" s="163">
        <f>+M39*3</f>
        <v>0</v>
      </c>
      <c r="O39" s="28"/>
      <c r="P39" s="75">
        <f t="shared" si="3"/>
        <v>0</v>
      </c>
      <c r="Q39" s="49"/>
      <c r="R39" s="57">
        <f t="shared" si="1"/>
        <v>0</v>
      </c>
      <c r="S39" s="107"/>
      <c r="T39" s="5"/>
      <c r="U39" s="58"/>
      <c r="V39" s="59"/>
      <c r="W39" s="60"/>
      <c r="X39" s="65"/>
    </row>
    <row r="40" spans="8:24">
      <c r="H40" s="187" t="s">
        <v>179</v>
      </c>
      <c r="I40" s="188" t="s">
        <v>53</v>
      </c>
      <c r="J40" s="189" t="s">
        <v>135</v>
      </c>
      <c r="K40" s="190"/>
      <c r="L40" s="191"/>
      <c r="M40" s="192"/>
      <c r="N40" s="193">
        <v>0</v>
      </c>
      <c r="O40" s="194"/>
      <c r="P40" s="193">
        <f t="shared" si="3"/>
        <v>0</v>
      </c>
      <c r="Q40" s="195"/>
      <c r="R40" s="196">
        <f t="shared" si="1"/>
        <v>0</v>
      </c>
      <c r="S40" s="197"/>
      <c r="T40" s="5"/>
      <c r="U40" s="58"/>
      <c r="V40" s="59"/>
      <c r="W40" s="60"/>
      <c r="X40" s="65"/>
    </row>
    <row r="41" spans="8:24">
      <c r="H41" s="81"/>
      <c r="I41" s="120" t="s">
        <v>12</v>
      </c>
      <c r="J41" s="150" t="s">
        <v>114</v>
      </c>
      <c r="K41" s="151"/>
      <c r="L41" s="146"/>
      <c r="M41" s="165"/>
      <c r="N41" s="166">
        <v>0</v>
      </c>
      <c r="O41" s="122">
        <v>32</v>
      </c>
      <c r="P41" s="147">
        <f t="shared" si="3"/>
        <v>150</v>
      </c>
      <c r="Q41" s="153"/>
      <c r="R41" s="124">
        <f t="shared" si="1"/>
        <v>150</v>
      </c>
      <c r="S41" s="148"/>
      <c r="T41" s="5"/>
      <c r="U41" s="58"/>
      <c r="V41" s="59"/>
      <c r="W41" s="60"/>
      <c r="X41" s="61"/>
    </row>
    <row r="42" spans="8:24">
      <c r="I42" s="13"/>
      <c r="J42" s="14"/>
      <c r="K42" s="17">
        <f t="shared" ref="K42:S42" si="4">SUM(K5:K41)</f>
        <v>0</v>
      </c>
      <c r="L42" s="18">
        <f t="shared" si="4"/>
        <v>0</v>
      </c>
      <c r="M42" s="167">
        <f t="shared" si="4"/>
        <v>0</v>
      </c>
      <c r="N42" s="168">
        <f t="shared" si="4"/>
        <v>0</v>
      </c>
      <c r="O42" s="77">
        <f t="shared" si="4"/>
        <v>634</v>
      </c>
      <c r="P42" s="78">
        <f t="shared" si="4"/>
        <v>3036</v>
      </c>
      <c r="Q42" s="16">
        <f t="shared" si="4"/>
        <v>0</v>
      </c>
      <c r="R42" s="78">
        <f t="shared" si="4"/>
        <v>3036</v>
      </c>
      <c r="S42" s="102">
        <f t="shared" si="4"/>
        <v>0</v>
      </c>
      <c r="T42" s="5"/>
      <c r="U42" s="58"/>
      <c r="V42" s="59"/>
      <c r="W42" s="60"/>
      <c r="X42" s="61"/>
    </row>
    <row r="43" spans="8:24">
      <c r="J43" s="200">
        <f ca="1">TODAY()</f>
        <v>43825</v>
      </c>
      <c r="K43" s="41"/>
      <c r="M43" s="42"/>
      <c r="N43" s="41"/>
      <c r="O43" s="45" t="s">
        <v>81</v>
      </c>
      <c r="Q43" s="42"/>
      <c r="R43" s="45">
        <f>+R17+R29+R40</f>
        <v>150</v>
      </c>
      <c r="T43" s="5"/>
      <c r="U43" s="58"/>
      <c r="V43" s="59"/>
      <c r="W43" s="60"/>
      <c r="X43" s="65"/>
    </row>
    <row r="44" spans="8:24">
      <c r="L44" s="43"/>
      <c r="M44" s="44"/>
      <c r="N44" s="125"/>
      <c r="O44" s="43" t="s">
        <v>91</v>
      </c>
      <c r="P44" s="114"/>
      <c r="Q44" s="110" t="s">
        <v>58</v>
      </c>
      <c r="R44" s="111">
        <f>+R42-R43</f>
        <v>2886</v>
      </c>
      <c r="S44" s="109"/>
      <c r="T44" s="5"/>
      <c r="U44" s="58"/>
      <c r="V44" s="59"/>
      <c r="W44" s="62"/>
      <c r="X44" s="60"/>
    </row>
    <row r="45" spans="8:24">
      <c r="P45" s="19"/>
      <c r="U45" s="58"/>
      <c r="V45" s="59"/>
      <c r="W45" s="62"/>
      <c r="X45" s="60"/>
    </row>
    <row r="46" spans="8:24">
      <c r="I46" s="123" t="s">
        <v>86</v>
      </c>
      <c r="P46" s="19"/>
      <c r="U46" s="64"/>
      <c r="V46" s="59"/>
      <c r="W46" s="60"/>
      <c r="X46" s="68"/>
    </row>
    <row r="47" spans="8:24">
      <c r="I47" s="123" t="s">
        <v>87</v>
      </c>
      <c r="P47" s="19"/>
      <c r="U47" s="58"/>
      <c r="V47" s="66"/>
      <c r="W47" s="67"/>
      <c r="X47" s="69"/>
    </row>
    <row r="48" spans="8:24">
      <c r="I48" s="123" t="s">
        <v>88</v>
      </c>
      <c r="P48" s="19"/>
      <c r="U48" s="60"/>
      <c r="V48" s="59"/>
      <c r="W48" s="60"/>
      <c r="X48" s="60"/>
    </row>
    <row r="49" spans="9:24">
      <c r="I49" s="123" t="s">
        <v>89</v>
      </c>
      <c r="P49" s="19"/>
      <c r="U49" s="60"/>
      <c r="V49" s="59"/>
      <c r="W49" s="60"/>
      <c r="X49" s="60"/>
    </row>
    <row r="50" spans="9:24">
      <c r="I50" s="123" t="s">
        <v>90</v>
      </c>
      <c r="P50" s="19"/>
      <c r="U50" s="60"/>
      <c r="V50" s="59"/>
      <c r="W50" s="60"/>
      <c r="X50" s="60"/>
    </row>
    <row r="51" spans="9:24">
      <c r="U51" s="60"/>
      <c r="V51" s="59"/>
      <c r="W51" s="60"/>
      <c r="X51" s="60"/>
    </row>
    <row r="52" spans="9:24">
      <c r="P52" s="19"/>
      <c r="U52" s="60"/>
      <c r="V52" s="59"/>
      <c r="W52" s="60"/>
      <c r="X52" s="60"/>
    </row>
    <row r="53" spans="9:24">
      <c r="P53" s="19"/>
      <c r="U53" s="60"/>
      <c r="V53" s="59"/>
      <c r="W53" s="60"/>
      <c r="X53" s="60"/>
    </row>
    <row r="54" spans="9:24">
      <c r="P54" s="19"/>
      <c r="U54" s="60"/>
      <c r="V54" s="59"/>
      <c r="W54" s="60"/>
      <c r="X54" s="60"/>
    </row>
    <row r="55" spans="9:24">
      <c r="U55" s="60"/>
      <c r="V55" s="59"/>
      <c r="W55" s="60"/>
      <c r="X55" s="60"/>
    </row>
  </sheetData>
  <mergeCells count="4">
    <mergeCell ref="I2:R2"/>
    <mergeCell ref="K3:N3"/>
    <mergeCell ref="O3:P3"/>
    <mergeCell ref="T3:V3"/>
  </mergeCells>
  <conditionalFormatting sqref="R5">
    <cfRule type="cellIs" dxfId="20" priority="2" operator="lessThanOrEqual">
      <formula>0</formula>
    </cfRule>
  </conditionalFormatting>
  <conditionalFormatting sqref="R40:R41 R5:R38">
    <cfRule type="cellIs" dxfId="19" priority="1" operator="greaterThan">
      <formula>0</formula>
    </cfRule>
  </conditionalFormatting>
  <printOptions horizontalCentered="1"/>
  <pageMargins left="0" right="0" top="0.83" bottom="0" header="0" footer="0"/>
  <pageSetup paperSize="9" scale="86" orientation="portrait" r:id="rId1"/>
  <ignoredErrors>
    <ignoredError sqref="N18:N19" formula="1"/>
  </ignoredErrors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55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R45" sqref="R45"/>
    </sheetView>
  </sheetViews>
  <sheetFormatPr baseColWidth="10" defaultRowHeight="15"/>
  <cols>
    <col min="1" max="1" width="5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7.28515625" customWidth="1"/>
    <col min="9" max="9" width="8.7109375" customWidth="1"/>
    <col min="10" max="10" width="24.140625" customWidth="1"/>
    <col min="11" max="12" width="3.7109375" customWidth="1"/>
    <col min="13" max="13" width="7" bestFit="1" customWidth="1"/>
    <col min="14" max="14" width="11.28515625" customWidth="1"/>
    <col min="15" max="15" width="7" bestFit="1" customWidth="1"/>
    <col min="16" max="16" width="11.42578125" customWidth="1"/>
    <col min="17" max="17" width="10.85546875" customWidth="1"/>
    <col min="18" max="18" width="13.85546875" customWidth="1"/>
    <col min="19" max="19" width="4" style="103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4" ht="5.0999999999999996" customHeight="1"/>
    <row r="2" spans="8:24">
      <c r="H2" s="83"/>
      <c r="I2" s="439" t="s">
        <v>174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4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4" ht="45">
      <c r="H4" s="83" t="s">
        <v>143</v>
      </c>
      <c r="I4" s="86" t="s">
        <v>7</v>
      </c>
      <c r="J4" s="86" t="s">
        <v>3</v>
      </c>
      <c r="K4" s="97"/>
      <c r="L4" s="98"/>
      <c r="M4" s="198" t="s">
        <v>15</v>
      </c>
      <c r="N4" s="198" t="s">
        <v>173</v>
      </c>
      <c r="O4" s="87" t="s">
        <v>15</v>
      </c>
      <c r="P4" s="87" t="s">
        <v>171</v>
      </c>
      <c r="Q4" s="99" t="s">
        <v>172</v>
      </c>
      <c r="R4" s="88" t="s">
        <v>103</v>
      </c>
      <c r="S4" s="140" t="s">
        <v>104</v>
      </c>
      <c r="T4" s="89"/>
      <c r="U4" s="83"/>
      <c r="V4" s="83"/>
    </row>
    <row r="5" spans="8:24">
      <c r="H5" s="143" t="s">
        <v>50</v>
      </c>
      <c r="I5" s="149" t="s">
        <v>5</v>
      </c>
      <c r="J5" s="155" t="s">
        <v>117</v>
      </c>
      <c r="K5" s="156"/>
      <c r="L5" s="157"/>
      <c r="M5" s="160"/>
      <c r="N5" s="161">
        <f>+M5*3</f>
        <v>0</v>
      </c>
      <c r="O5" s="23">
        <v>34</v>
      </c>
      <c r="P5" s="24">
        <f t="shared" ref="P5:P15" si="0">IF(O5&gt;25,150,(O5)*6)</f>
        <v>150</v>
      </c>
      <c r="Q5" s="152"/>
      <c r="R5" s="24">
        <f t="shared" ref="R5:R42" si="1">+L5+N5+P5+Q5</f>
        <v>150</v>
      </c>
      <c r="S5" s="157"/>
      <c r="T5" s="5"/>
      <c r="U5" s="92">
        <v>828</v>
      </c>
      <c r="V5" s="93">
        <v>107.64</v>
      </c>
      <c r="W5" s="94">
        <v>720.36</v>
      </c>
      <c r="X5" s="70" t="s">
        <v>36</v>
      </c>
    </row>
    <row r="6" spans="8:24">
      <c r="H6" s="83"/>
      <c r="I6" s="126" t="s">
        <v>82</v>
      </c>
      <c r="J6" s="80" t="s">
        <v>141</v>
      </c>
      <c r="K6" s="8"/>
      <c r="L6" s="54">
        <v>0</v>
      </c>
      <c r="M6" s="162"/>
      <c r="N6" s="163">
        <f>+M6*3</f>
        <v>0</v>
      </c>
      <c r="O6" s="76"/>
      <c r="P6" s="75">
        <f t="shared" si="0"/>
        <v>0</v>
      </c>
      <c r="Q6" s="50"/>
      <c r="R6" s="11">
        <f t="shared" si="1"/>
        <v>0</v>
      </c>
      <c r="S6" s="106"/>
      <c r="T6" s="5"/>
      <c r="U6" s="30">
        <f>+V6+W6</f>
        <v>827.58620689655174</v>
      </c>
      <c r="V6" s="71">
        <f>+V5*W6/W5</f>
        <v>107.58620689655173</v>
      </c>
      <c r="W6" s="31">
        <v>720</v>
      </c>
      <c r="X6" s="36"/>
    </row>
    <row r="7" spans="8:24">
      <c r="H7" s="83"/>
      <c r="I7" s="126" t="s">
        <v>64</v>
      </c>
      <c r="J7" s="80" t="s">
        <v>138</v>
      </c>
      <c r="K7" s="8"/>
      <c r="L7" s="54">
        <v>0</v>
      </c>
      <c r="M7" s="162"/>
      <c r="N7" s="163">
        <f>+M7*3</f>
        <v>0</v>
      </c>
      <c r="O7" s="76">
        <v>35</v>
      </c>
      <c r="P7" s="75">
        <f t="shared" si="0"/>
        <v>150</v>
      </c>
      <c r="Q7" s="50"/>
      <c r="R7" s="11">
        <f t="shared" si="1"/>
        <v>150</v>
      </c>
      <c r="S7" s="106"/>
      <c r="T7" s="5"/>
      <c r="U7" s="32">
        <f>+U5-U6</f>
        <v>0.41379310344825626</v>
      </c>
      <c r="V7" s="47"/>
      <c r="W7" s="33"/>
      <c r="X7" s="4" t="s">
        <v>59</v>
      </c>
    </row>
    <row r="8" spans="8:24">
      <c r="H8" s="83"/>
      <c r="I8" s="25" t="s">
        <v>2</v>
      </c>
      <c r="J8" s="81" t="s">
        <v>107</v>
      </c>
      <c r="K8" s="29"/>
      <c r="L8" s="55"/>
      <c r="M8" s="164"/>
      <c r="N8" s="163">
        <f>+M8*3</f>
        <v>0</v>
      </c>
      <c r="O8" s="74">
        <v>36</v>
      </c>
      <c r="P8" s="75">
        <f t="shared" si="0"/>
        <v>150</v>
      </c>
      <c r="Q8" s="50"/>
      <c r="R8" s="9">
        <f t="shared" si="1"/>
        <v>150</v>
      </c>
      <c r="S8" s="138"/>
      <c r="T8" s="5"/>
      <c r="U8" s="34">
        <v>150</v>
      </c>
      <c r="V8" s="38">
        <f>+U8-U7</f>
        <v>149.58620689655174</v>
      </c>
      <c r="W8" s="39" t="s">
        <v>63</v>
      </c>
      <c r="X8" s="6">
        <f>150-V8</f>
        <v>0.41379310344825626</v>
      </c>
    </row>
    <row r="9" spans="8:24">
      <c r="H9" s="95"/>
      <c r="I9" s="25" t="s">
        <v>42</v>
      </c>
      <c r="J9" s="81" t="s">
        <v>119</v>
      </c>
      <c r="K9" s="26"/>
      <c r="L9" s="27"/>
      <c r="M9" s="164"/>
      <c r="N9" s="163">
        <f>+M9*3</f>
        <v>0</v>
      </c>
      <c r="O9" s="28">
        <v>34</v>
      </c>
      <c r="P9" s="75">
        <f t="shared" si="0"/>
        <v>150</v>
      </c>
      <c r="Q9" s="49"/>
      <c r="R9" s="11">
        <f t="shared" si="1"/>
        <v>150</v>
      </c>
      <c r="S9" s="107"/>
      <c r="T9" s="5"/>
      <c r="U9" s="10"/>
      <c r="X9" s="37"/>
    </row>
    <row r="10" spans="8:24" ht="15" customHeight="1">
      <c r="H10" s="83"/>
      <c r="I10" s="25" t="s">
        <v>1</v>
      </c>
      <c r="J10" s="81" t="s">
        <v>106</v>
      </c>
      <c r="K10" s="29"/>
      <c r="L10" s="55">
        <f>+K10*3</f>
        <v>0</v>
      </c>
      <c r="M10" s="164">
        <v>12</v>
      </c>
      <c r="N10" s="163">
        <f>3*M10</f>
        <v>36</v>
      </c>
      <c r="O10" s="74"/>
      <c r="P10" s="75">
        <f t="shared" si="0"/>
        <v>0</v>
      </c>
      <c r="Q10" s="50"/>
      <c r="R10" s="9">
        <f t="shared" si="1"/>
        <v>36</v>
      </c>
      <c r="S10" s="107"/>
      <c r="T10" s="5"/>
      <c r="U10" s="92">
        <v>856</v>
      </c>
      <c r="V10" s="93">
        <v>110.51</v>
      </c>
      <c r="W10" s="94">
        <v>745.49</v>
      </c>
      <c r="X10" s="70" t="s">
        <v>35</v>
      </c>
    </row>
    <row r="11" spans="8:24">
      <c r="H11" s="141"/>
      <c r="I11" s="126" t="s">
        <v>56</v>
      </c>
      <c r="J11" s="80" t="s">
        <v>136</v>
      </c>
      <c r="K11" s="8"/>
      <c r="L11" s="54">
        <v>0</v>
      </c>
      <c r="M11" s="162">
        <v>14</v>
      </c>
      <c r="N11" s="163">
        <v>0</v>
      </c>
      <c r="O11" s="76"/>
      <c r="P11" s="75">
        <f t="shared" si="0"/>
        <v>0</v>
      </c>
      <c r="Q11" s="195">
        <v>10</v>
      </c>
      <c r="R11" s="193">
        <f t="shared" si="1"/>
        <v>10</v>
      </c>
      <c r="S11" s="197"/>
      <c r="T11" s="5"/>
      <c r="U11" s="30">
        <f>+V11+W11</f>
        <v>826.7314115548163</v>
      </c>
      <c r="V11" s="71">
        <f>+V10*W11/W10</f>
        <v>106.73141155481629</v>
      </c>
      <c r="W11" s="31">
        <v>720</v>
      </c>
      <c r="X11" s="37"/>
    </row>
    <row r="12" spans="8:24">
      <c r="H12" s="95"/>
      <c r="I12" s="25" t="s">
        <v>16</v>
      </c>
      <c r="J12" s="81" t="s">
        <v>113</v>
      </c>
      <c r="K12" s="29"/>
      <c r="L12" s="54">
        <f>+K12*3</f>
        <v>0</v>
      </c>
      <c r="M12" s="164"/>
      <c r="N12" s="163">
        <v>0</v>
      </c>
      <c r="O12" s="28">
        <v>28</v>
      </c>
      <c r="P12" s="75">
        <f t="shared" si="0"/>
        <v>150</v>
      </c>
      <c r="Q12" s="49"/>
      <c r="R12" s="11">
        <f t="shared" si="1"/>
        <v>150</v>
      </c>
      <c r="S12" s="106"/>
      <c r="T12" s="5"/>
      <c r="U12" s="32">
        <f>+U10-U11</f>
        <v>29.268588445183696</v>
      </c>
      <c r="V12" s="47"/>
      <c r="W12" s="33"/>
      <c r="X12" s="4" t="s">
        <v>59</v>
      </c>
    </row>
    <row r="13" spans="8:24">
      <c r="H13" s="83"/>
      <c r="I13" s="25" t="s">
        <v>92</v>
      </c>
      <c r="J13" s="81" t="s">
        <v>109</v>
      </c>
      <c r="K13" s="29"/>
      <c r="L13" s="55">
        <f>+K13*5</f>
        <v>0</v>
      </c>
      <c r="M13" s="164"/>
      <c r="N13" s="163">
        <f>M13*3</f>
        <v>0</v>
      </c>
      <c r="O13" s="74">
        <v>28</v>
      </c>
      <c r="P13" s="75">
        <f t="shared" si="0"/>
        <v>150</v>
      </c>
      <c r="Q13" s="50"/>
      <c r="R13" s="9">
        <f t="shared" si="1"/>
        <v>150</v>
      </c>
      <c r="S13" s="107"/>
      <c r="T13" s="5"/>
      <c r="U13" s="34">
        <v>150</v>
      </c>
      <c r="V13" s="38">
        <f>+U13-U12</f>
        <v>120.7314115548163</v>
      </c>
      <c r="W13" s="39" t="s">
        <v>63</v>
      </c>
      <c r="X13" s="6">
        <f>150-V13</f>
        <v>29.268588445183696</v>
      </c>
    </row>
    <row r="14" spans="8:24">
      <c r="H14" s="95"/>
      <c r="I14" s="25" t="s">
        <v>20</v>
      </c>
      <c r="J14" s="81" t="s">
        <v>115</v>
      </c>
      <c r="K14" s="29"/>
      <c r="L14" s="27"/>
      <c r="M14" s="164">
        <v>15</v>
      </c>
      <c r="N14" s="163">
        <f>+M14*3</f>
        <v>45</v>
      </c>
      <c r="O14" s="28"/>
      <c r="P14" s="75">
        <f t="shared" si="0"/>
        <v>0</v>
      </c>
      <c r="Q14" s="49">
        <v>10</v>
      </c>
      <c r="R14" s="9">
        <f t="shared" si="1"/>
        <v>55</v>
      </c>
      <c r="S14" s="107"/>
      <c r="T14" s="5"/>
      <c r="U14" s="10"/>
      <c r="X14" s="37"/>
    </row>
    <row r="15" spans="8:24">
      <c r="H15" s="143" t="s">
        <v>50</v>
      </c>
      <c r="I15" s="21" t="s">
        <v>77</v>
      </c>
      <c r="J15" s="20" t="s">
        <v>140</v>
      </c>
      <c r="K15" s="22"/>
      <c r="L15" s="56">
        <v>0</v>
      </c>
      <c r="M15" s="160"/>
      <c r="N15" s="161">
        <v>0</v>
      </c>
      <c r="O15" s="23"/>
      <c r="P15" s="24">
        <f t="shared" si="0"/>
        <v>0</v>
      </c>
      <c r="Q15" s="51"/>
      <c r="R15" s="24">
        <f t="shared" si="1"/>
        <v>0</v>
      </c>
      <c r="S15" s="108"/>
      <c r="T15" s="5"/>
      <c r="U15" s="92">
        <f>644+150</f>
        <v>794</v>
      </c>
      <c r="V15" s="93">
        <v>0</v>
      </c>
      <c r="W15" s="101">
        <v>769.08</v>
      </c>
      <c r="X15" s="100" t="s">
        <v>21</v>
      </c>
    </row>
    <row r="16" spans="8:24">
      <c r="H16" s="187" t="s">
        <v>164</v>
      </c>
      <c r="I16" s="188" t="s">
        <v>69</v>
      </c>
      <c r="J16" s="189" t="s">
        <v>162</v>
      </c>
      <c r="K16" s="190"/>
      <c r="L16" s="191">
        <f>+K16*3</f>
        <v>0</v>
      </c>
      <c r="M16" s="192">
        <v>10</v>
      </c>
      <c r="N16" s="193">
        <v>0</v>
      </c>
      <c r="O16" s="194"/>
      <c r="P16" s="193"/>
      <c r="Q16" s="195">
        <v>10</v>
      </c>
      <c r="R16" s="196">
        <f t="shared" si="1"/>
        <v>10</v>
      </c>
      <c r="S16" s="197"/>
      <c r="T16" s="5"/>
      <c r="U16" s="30">
        <f>+V16+W16</f>
        <v>720</v>
      </c>
      <c r="V16" s="71">
        <f>+V15*W16/W15</f>
        <v>0</v>
      </c>
      <c r="W16" s="31">
        <v>720</v>
      </c>
      <c r="X16" s="37"/>
    </row>
    <row r="17" spans="1:24">
      <c r="H17" s="95"/>
      <c r="I17" s="25" t="s">
        <v>25</v>
      </c>
      <c r="J17" s="81" t="s">
        <v>118</v>
      </c>
      <c r="K17" s="26"/>
      <c r="L17" s="27"/>
      <c r="M17" s="164"/>
      <c r="N17" s="163">
        <f>+M17*3</f>
        <v>0</v>
      </c>
      <c r="O17" s="28">
        <v>27</v>
      </c>
      <c r="P17" s="75">
        <f t="shared" ref="P17:P27" si="2">IF(O17&gt;25,150,(O17)*6)</f>
        <v>150</v>
      </c>
      <c r="Q17" s="49"/>
      <c r="R17" s="11">
        <f t="shared" si="1"/>
        <v>150</v>
      </c>
      <c r="S17" s="107"/>
      <c r="T17" s="5"/>
      <c r="U17" s="32">
        <f>+U15-U16</f>
        <v>74</v>
      </c>
      <c r="V17" s="47"/>
      <c r="W17" s="33"/>
      <c r="X17" s="4" t="s">
        <v>59</v>
      </c>
    </row>
    <row r="18" spans="1:24">
      <c r="H18" s="95"/>
      <c r="I18" s="25" t="s">
        <v>41</v>
      </c>
      <c r="J18" s="81" t="s">
        <v>112</v>
      </c>
      <c r="K18" s="29"/>
      <c r="L18" s="27"/>
      <c r="M18" s="164"/>
      <c r="N18" s="163">
        <f>+M18*3</f>
        <v>0</v>
      </c>
      <c r="O18" s="28">
        <v>39</v>
      </c>
      <c r="P18" s="75">
        <f t="shared" si="2"/>
        <v>150</v>
      </c>
      <c r="Q18" s="49"/>
      <c r="R18" s="11">
        <f t="shared" si="1"/>
        <v>150</v>
      </c>
      <c r="S18" s="107"/>
      <c r="T18" s="5"/>
      <c r="U18" s="34">
        <v>150</v>
      </c>
      <c r="V18" s="38">
        <f>+U18-U17</f>
        <v>76</v>
      </c>
      <c r="W18" s="39" t="s">
        <v>63</v>
      </c>
      <c r="X18" s="6">
        <f>150-V18</f>
        <v>74</v>
      </c>
    </row>
    <row r="19" spans="1:24">
      <c r="H19" s="83"/>
      <c r="I19" s="126" t="s">
        <v>71</v>
      </c>
      <c r="J19" s="80" t="s">
        <v>139</v>
      </c>
      <c r="K19" s="8"/>
      <c r="L19" s="54">
        <v>0</v>
      </c>
      <c r="M19" s="162"/>
      <c r="N19" s="163">
        <f>5*M19</f>
        <v>0</v>
      </c>
      <c r="O19" s="76">
        <v>33</v>
      </c>
      <c r="P19" s="75">
        <f t="shared" si="2"/>
        <v>150</v>
      </c>
      <c r="Q19" s="50"/>
      <c r="R19" s="11">
        <f t="shared" si="1"/>
        <v>150</v>
      </c>
      <c r="S19" s="106"/>
      <c r="T19" s="5"/>
      <c r="U19" s="10"/>
      <c r="X19" s="37"/>
    </row>
    <row r="20" spans="1:24">
      <c r="H20" s="141"/>
      <c r="I20" s="25" t="s">
        <v>28</v>
      </c>
      <c r="J20" s="81" t="s">
        <v>122</v>
      </c>
      <c r="K20" s="29"/>
      <c r="L20" s="55"/>
      <c r="M20" s="164"/>
      <c r="N20" s="163">
        <f>+M20*3</f>
        <v>0</v>
      </c>
      <c r="O20" s="74"/>
      <c r="P20" s="75">
        <f t="shared" si="2"/>
        <v>0</v>
      </c>
      <c r="Q20" s="50"/>
      <c r="R20" s="9">
        <f t="shared" si="1"/>
        <v>0</v>
      </c>
      <c r="S20" s="107"/>
      <c r="T20" s="5"/>
      <c r="U20" s="58"/>
      <c r="V20" s="59"/>
      <c r="W20" s="60"/>
      <c r="X20" s="61"/>
    </row>
    <row r="21" spans="1:24">
      <c r="H21" s="141"/>
      <c r="I21" s="25" t="s">
        <v>10</v>
      </c>
      <c r="J21" s="96" t="s">
        <v>129</v>
      </c>
      <c r="K21" s="35"/>
      <c r="L21" s="55">
        <f>+K21*3</f>
        <v>0</v>
      </c>
      <c r="M21" s="164">
        <v>6</v>
      </c>
      <c r="N21" s="163">
        <f>5*M21</f>
        <v>30</v>
      </c>
      <c r="O21" s="74"/>
      <c r="P21" s="75">
        <f t="shared" si="2"/>
        <v>0</v>
      </c>
      <c r="Q21" s="112"/>
      <c r="R21" s="9">
        <f t="shared" si="1"/>
        <v>30</v>
      </c>
      <c r="S21" s="107"/>
      <c r="T21" s="5"/>
      <c r="U21" s="103" t="s">
        <v>161</v>
      </c>
    </row>
    <row r="22" spans="1:24">
      <c r="H22" s="142"/>
      <c r="I22" s="25" t="s">
        <v>4</v>
      </c>
      <c r="J22" s="81" t="s">
        <v>111</v>
      </c>
      <c r="K22" s="29"/>
      <c r="L22" s="27"/>
      <c r="M22" s="164"/>
      <c r="N22" s="163">
        <v>0</v>
      </c>
      <c r="O22" s="28">
        <v>36</v>
      </c>
      <c r="P22" s="75">
        <f t="shared" si="2"/>
        <v>150</v>
      </c>
      <c r="Q22" s="49"/>
      <c r="R22" s="11">
        <f t="shared" si="1"/>
        <v>150</v>
      </c>
      <c r="S22" s="107"/>
      <c r="T22" s="5"/>
      <c r="U22" s="176" t="s">
        <v>158</v>
      </c>
      <c r="V22" s="177" t="s">
        <v>159</v>
      </c>
      <c r="W22" s="178"/>
      <c r="X22" s="174" t="s">
        <v>157</v>
      </c>
    </row>
    <row r="23" spans="1:24">
      <c r="H23" s="83"/>
      <c r="I23" s="25" t="s">
        <v>9</v>
      </c>
      <c r="J23" s="96" t="s">
        <v>128</v>
      </c>
      <c r="K23" s="35"/>
      <c r="L23" s="55">
        <f>+K23*3</f>
        <v>0</v>
      </c>
      <c r="M23" s="164"/>
      <c r="N23" s="163">
        <f>+M23*3</f>
        <v>0</v>
      </c>
      <c r="O23" s="74">
        <v>39</v>
      </c>
      <c r="P23" s="75">
        <f t="shared" si="2"/>
        <v>150</v>
      </c>
      <c r="Q23" s="112"/>
      <c r="R23" s="11">
        <f t="shared" si="1"/>
        <v>150</v>
      </c>
      <c r="S23" s="107"/>
      <c r="T23" s="5"/>
      <c r="U23" s="179">
        <v>43480</v>
      </c>
      <c r="V23" s="170">
        <v>1</v>
      </c>
      <c r="W23" s="180"/>
      <c r="X23" s="33" t="s">
        <v>156</v>
      </c>
    </row>
    <row r="24" spans="1:24">
      <c r="H24" s="83"/>
      <c r="I24" s="126" t="s">
        <v>51</v>
      </c>
      <c r="J24" s="82" t="s">
        <v>134</v>
      </c>
      <c r="K24" s="12"/>
      <c r="L24" s="54">
        <v>0</v>
      </c>
      <c r="M24" s="162"/>
      <c r="N24" s="163">
        <f>+M24*3</f>
        <v>0</v>
      </c>
      <c r="O24" s="76">
        <v>39</v>
      </c>
      <c r="P24" s="75">
        <f t="shared" si="2"/>
        <v>150</v>
      </c>
      <c r="Q24" s="49"/>
      <c r="R24" s="11">
        <f t="shared" si="1"/>
        <v>150</v>
      </c>
      <c r="S24" s="106"/>
      <c r="T24" s="5"/>
      <c r="U24" s="179">
        <f>1+U23</f>
        <v>43481</v>
      </c>
      <c r="V24" s="170">
        <v>1</v>
      </c>
      <c r="W24" s="181"/>
      <c r="X24" s="33" t="s">
        <v>151</v>
      </c>
    </row>
    <row r="25" spans="1:24">
      <c r="H25" s="83"/>
      <c r="I25" s="126" t="s">
        <v>61</v>
      </c>
      <c r="J25" s="80" t="s">
        <v>137</v>
      </c>
      <c r="K25" s="8"/>
      <c r="L25" s="54">
        <v>0</v>
      </c>
      <c r="M25" s="162">
        <v>13</v>
      </c>
      <c r="N25" s="163">
        <v>0</v>
      </c>
      <c r="O25" s="72"/>
      <c r="P25" s="75">
        <f t="shared" si="2"/>
        <v>0</v>
      </c>
      <c r="Q25" s="50">
        <v>10</v>
      </c>
      <c r="R25" s="11">
        <f t="shared" si="1"/>
        <v>10</v>
      </c>
      <c r="S25" s="106"/>
      <c r="T25" s="5"/>
      <c r="U25" s="179">
        <f>1+U24</f>
        <v>43482</v>
      </c>
      <c r="V25" s="170">
        <v>1</v>
      </c>
      <c r="W25" s="182"/>
      <c r="X25" s="33" t="s">
        <v>152</v>
      </c>
    </row>
    <row r="26" spans="1:24">
      <c r="H26" s="83"/>
      <c r="I26" s="25" t="s">
        <v>14</v>
      </c>
      <c r="J26" s="96" t="s">
        <v>125</v>
      </c>
      <c r="K26" s="29"/>
      <c r="L26" s="55">
        <v>0</v>
      </c>
      <c r="M26" s="164"/>
      <c r="N26" s="163">
        <f>+M26*3</f>
        <v>0</v>
      </c>
      <c r="O26" s="74">
        <v>36</v>
      </c>
      <c r="P26" s="75">
        <f t="shared" si="2"/>
        <v>150</v>
      </c>
      <c r="Q26" s="49"/>
      <c r="R26" s="11">
        <f t="shared" si="1"/>
        <v>150</v>
      </c>
      <c r="S26" s="107"/>
      <c r="T26" s="5"/>
      <c r="U26" s="179">
        <f>1+U25</f>
        <v>43483</v>
      </c>
      <c r="V26" s="170">
        <v>1</v>
      </c>
      <c r="W26" s="181"/>
      <c r="X26" s="33" t="s">
        <v>153</v>
      </c>
    </row>
    <row r="27" spans="1:24">
      <c r="H27" s="83"/>
      <c r="I27" s="126" t="s">
        <v>79</v>
      </c>
      <c r="J27" s="82" t="s">
        <v>110</v>
      </c>
      <c r="K27" s="8"/>
      <c r="L27" s="54">
        <f>+K27*3</f>
        <v>0</v>
      </c>
      <c r="M27" s="164">
        <v>13</v>
      </c>
      <c r="N27" s="163">
        <v>0</v>
      </c>
      <c r="O27" s="76"/>
      <c r="P27" s="75">
        <f t="shared" si="2"/>
        <v>0</v>
      </c>
      <c r="Q27" s="50">
        <v>10</v>
      </c>
      <c r="R27" s="11">
        <f t="shared" si="1"/>
        <v>10</v>
      </c>
      <c r="S27" s="106"/>
      <c r="T27" s="5"/>
      <c r="U27" s="179">
        <f>1+U26</f>
        <v>43484</v>
      </c>
      <c r="V27" s="170">
        <v>0.5</v>
      </c>
      <c r="W27" s="183"/>
      <c r="X27" s="33" t="s">
        <v>154</v>
      </c>
    </row>
    <row r="28" spans="1:24">
      <c r="A28" s="4"/>
      <c r="B28" s="4"/>
      <c r="C28" s="4"/>
      <c r="D28" s="3"/>
      <c r="E28" s="4"/>
      <c r="F28" s="40"/>
      <c r="G28" s="4"/>
      <c r="H28" s="83"/>
      <c r="I28" s="25" t="s">
        <v>0</v>
      </c>
      <c r="J28" s="81" t="s">
        <v>108</v>
      </c>
      <c r="K28" s="29"/>
      <c r="L28" s="55">
        <f>+K28*5</f>
        <v>0</v>
      </c>
      <c r="M28" s="164"/>
      <c r="N28" s="163">
        <f>+M28*5</f>
        <v>0</v>
      </c>
      <c r="O28" s="74"/>
      <c r="P28" s="75">
        <v>0</v>
      </c>
      <c r="Q28" s="50"/>
      <c r="R28" s="9">
        <f t="shared" si="1"/>
        <v>0</v>
      </c>
      <c r="S28" s="107"/>
      <c r="T28" s="5"/>
      <c r="U28" s="184"/>
      <c r="V28" s="170">
        <f>SUM(V23:V27)</f>
        <v>4.5</v>
      </c>
      <c r="W28" s="183" t="s">
        <v>148</v>
      </c>
      <c r="X28" s="175" t="s">
        <v>155</v>
      </c>
    </row>
    <row r="29" spans="1:24">
      <c r="H29" s="83"/>
      <c r="I29" s="25" t="s">
        <v>45</v>
      </c>
      <c r="J29" s="81" t="s">
        <v>133</v>
      </c>
      <c r="K29" s="26"/>
      <c r="L29" s="55">
        <v>0</v>
      </c>
      <c r="M29" s="164"/>
      <c r="N29" s="163">
        <f>+M29*3</f>
        <v>0</v>
      </c>
      <c r="O29" s="74">
        <v>33</v>
      </c>
      <c r="P29" s="75">
        <f t="shared" ref="P29:P42" si="3">IF(O29&gt;25,150,(O29)*6)</f>
        <v>150</v>
      </c>
      <c r="Q29" s="49"/>
      <c r="R29" s="11">
        <f t="shared" si="1"/>
        <v>150</v>
      </c>
      <c r="S29" s="107"/>
      <c r="T29" s="5"/>
      <c r="U29" s="184"/>
      <c r="V29" s="171">
        <v>18</v>
      </c>
      <c r="W29" s="185" t="s">
        <v>149</v>
      </c>
      <c r="X29" s="61"/>
    </row>
    <row r="30" spans="1:24" ht="16.5">
      <c r="H30" s="143" t="s">
        <v>50</v>
      </c>
      <c r="I30" s="21" t="s">
        <v>13</v>
      </c>
      <c r="J30" s="20" t="s">
        <v>121</v>
      </c>
      <c r="K30" s="22"/>
      <c r="L30" s="56">
        <f>+K30*3</f>
        <v>0</v>
      </c>
      <c r="M30" s="160"/>
      <c r="N30" s="161">
        <v>0</v>
      </c>
      <c r="O30" s="23"/>
      <c r="P30" s="24">
        <f t="shared" si="3"/>
        <v>0</v>
      </c>
      <c r="Q30" s="51"/>
      <c r="R30" s="24">
        <f t="shared" si="1"/>
        <v>0</v>
      </c>
      <c r="S30" s="108"/>
      <c r="T30" s="5"/>
      <c r="U30" s="186" t="s">
        <v>160</v>
      </c>
      <c r="V30" s="172">
        <f>+V29/V28</f>
        <v>4</v>
      </c>
      <c r="W30" s="173" t="s">
        <v>150</v>
      </c>
      <c r="X30" s="61"/>
    </row>
    <row r="31" spans="1:24">
      <c r="H31" s="83"/>
      <c r="I31" s="25" t="s">
        <v>31</v>
      </c>
      <c r="J31" s="81" t="s">
        <v>127</v>
      </c>
      <c r="K31" s="29"/>
      <c r="L31" s="55">
        <f>+K31*3</f>
        <v>0</v>
      </c>
      <c r="M31" s="164"/>
      <c r="N31" s="163">
        <v>0</v>
      </c>
      <c r="O31" s="74">
        <v>33</v>
      </c>
      <c r="P31" s="75">
        <f t="shared" si="3"/>
        <v>150</v>
      </c>
      <c r="Q31" s="49"/>
      <c r="R31" s="11">
        <f t="shared" si="1"/>
        <v>150</v>
      </c>
      <c r="S31" s="107"/>
      <c r="T31" s="5"/>
      <c r="U31" s="58"/>
      <c r="V31" s="59"/>
      <c r="W31" s="60"/>
      <c r="X31" s="65"/>
    </row>
    <row r="32" spans="1:24" s="4" customFormat="1">
      <c r="A32"/>
      <c r="B32"/>
      <c r="C32"/>
      <c r="D32" s="1"/>
      <c r="E32"/>
      <c r="F32" s="2"/>
      <c r="G32"/>
      <c r="H32" s="83"/>
      <c r="I32" s="25" t="s">
        <v>30</v>
      </c>
      <c r="J32" s="81" t="s">
        <v>126</v>
      </c>
      <c r="K32" s="29"/>
      <c r="L32" s="55">
        <v>0</v>
      </c>
      <c r="M32" s="164"/>
      <c r="N32" s="163">
        <f>+M32*3</f>
        <v>0</v>
      </c>
      <c r="O32" s="28">
        <v>34</v>
      </c>
      <c r="P32" s="11">
        <f t="shared" si="3"/>
        <v>150</v>
      </c>
      <c r="Q32" s="49"/>
      <c r="R32" s="11">
        <f t="shared" si="1"/>
        <v>150</v>
      </c>
      <c r="S32" s="107"/>
      <c r="T32" s="5"/>
      <c r="U32" s="64"/>
      <c r="V32" s="59"/>
      <c r="W32" s="60"/>
      <c r="X32" s="68"/>
    </row>
    <row r="33" spans="8:24">
      <c r="H33" s="143" t="s">
        <v>50</v>
      </c>
      <c r="I33" s="21" t="s">
        <v>17</v>
      </c>
      <c r="J33" s="20" t="s">
        <v>123</v>
      </c>
      <c r="K33" s="22"/>
      <c r="L33" s="157">
        <f>+K33*3</f>
        <v>0</v>
      </c>
      <c r="M33" s="160"/>
      <c r="N33" s="161">
        <f>+M33*3</f>
        <v>0</v>
      </c>
      <c r="O33" s="23">
        <v>32</v>
      </c>
      <c r="P33" s="24">
        <f t="shared" si="3"/>
        <v>150</v>
      </c>
      <c r="Q33" s="51"/>
      <c r="R33" s="24">
        <f t="shared" si="1"/>
        <v>150</v>
      </c>
      <c r="S33" s="158"/>
      <c r="T33" s="5"/>
      <c r="U33" s="58"/>
      <c r="V33" s="66"/>
      <c r="W33" s="67"/>
      <c r="X33" s="69"/>
    </row>
    <row r="34" spans="8:24">
      <c r="H34" s="83"/>
      <c r="I34" s="25" t="s">
        <v>60</v>
      </c>
      <c r="J34" s="81" t="s">
        <v>132</v>
      </c>
      <c r="K34" s="26"/>
      <c r="L34" s="55"/>
      <c r="M34" s="164"/>
      <c r="N34" s="163">
        <v>0</v>
      </c>
      <c r="O34" s="74"/>
      <c r="P34" s="75">
        <f t="shared" si="3"/>
        <v>0</v>
      </c>
      <c r="Q34" s="49"/>
      <c r="R34" s="11">
        <f t="shared" si="1"/>
        <v>0</v>
      </c>
      <c r="S34" s="107"/>
      <c r="T34" s="5"/>
      <c r="U34" s="58"/>
      <c r="V34" s="59"/>
      <c r="W34" s="60"/>
      <c r="X34" s="65"/>
    </row>
    <row r="35" spans="8:24">
      <c r="H35" s="142"/>
      <c r="I35" s="25" t="s">
        <v>8</v>
      </c>
      <c r="J35" s="81" t="s">
        <v>120</v>
      </c>
      <c r="K35" s="29"/>
      <c r="L35" s="27"/>
      <c r="M35" s="164">
        <v>14</v>
      </c>
      <c r="N35" s="163">
        <v>0</v>
      </c>
      <c r="O35" s="28"/>
      <c r="P35" s="75">
        <f t="shared" si="3"/>
        <v>0</v>
      </c>
      <c r="Q35" s="49">
        <v>10</v>
      </c>
      <c r="R35" s="57">
        <f t="shared" si="1"/>
        <v>10</v>
      </c>
      <c r="S35" s="107"/>
      <c r="T35" s="5"/>
      <c r="U35" s="58"/>
      <c r="V35" s="59">
        <v>17.142900000000001</v>
      </c>
      <c r="W35" s="60"/>
      <c r="X35" s="61"/>
    </row>
    <row r="36" spans="8:24">
      <c r="H36" s="83"/>
      <c r="I36" s="25" t="s">
        <v>11</v>
      </c>
      <c r="J36" s="96" t="s">
        <v>130</v>
      </c>
      <c r="K36" s="35"/>
      <c r="L36" s="55">
        <f>+K36*3</f>
        <v>0</v>
      </c>
      <c r="M36" s="164"/>
      <c r="N36" s="163">
        <f>+M36*3</f>
        <v>0</v>
      </c>
      <c r="O36" s="74">
        <v>32</v>
      </c>
      <c r="P36" s="75">
        <f t="shared" si="3"/>
        <v>150</v>
      </c>
      <c r="Q36" s="112"/>
      <c r="R36" s="11">
        <f t="shared" si="1"/>
        <v>150</v>
      </c>
      <c r="S36" s="107"/>
      <c r="T36" s="5"/>
      <c r="U36" s="58"/>
      <c r="V36" s="59">
        <f>+V35/6*7</f>
        <v>20.000050000000002</v>
      </c>
      <c r="W36" s="62"/>
      <c r="X36" s="63"/>
    </row>
    <row r="37" spans="8:24">
      <c r="H37" s="83"/>
      <c r="I37" s="25" t="s">
        <v>48</v>
      </c>
      <c r="J37" s="81" t="s">
        <v>131</v>
      </c>
      <c r="K37" s="26"/>
      <c r="L37" s="55"/>
      <c r="M37" s="164"/>
      <c r="N37" s="163">
        <f>+M37*3</f>
        <v>0</v>
      </c>
      <c r="O37" s="74"/>
      <c r="P37" s="75">
        <f t="shared" si="3"/>
        <v>0</v>
      </c>
      <c r="Q37" s="49"/>
      <c r="R37" s="11">
        <f t="shared" si="1"/>
        <v>0</v>
      </c>
      <c r="S37" s="107"/>
      <c r="T37" s="5"/>
      <c r="U37" s="58"/>
      <c r="V37" s="66"/>
      <c r="W37" s="67"/>
      <c r="X37" s="66"/>
    </row>
    <row r="38" spans="8:24">
      <c r="H38" s="144"/>
      <c r="I38" s="25" t="s">
        <v>84</v>
      </c>
      <c r="J38" s="96" t="s">
        <v>142</v>
      </c>
      <c r="K38" s="145"/>
      <c r="L38" s="55">
        <v>0</v>
      </c>
      <c r="M38" s="164"/>
      <c r="N38" s="163">
        <v>0</v>
      </c>
      <c r="O38" s="28">
        <v>38</v>
      </c>
      <c r="P38" s="11">
        <f t="shared" si="3"/>
        <v>150</v>
      </c>
      <c r="Q38" s="112"/>
      <c r="R38" s="11">
        <f t="shared" si="1"/>
        <v>150</v>
      </c>
      <c r="S38" s="107"/>
      <c r="T38" s="5"/>
      <c r="U38" s="58"/>
      <c r="V38" s="66"/>
      <c r="W38" s="67"/>
      <c r="X38" s="66"/>
    </row>
    <row r="39" spans="8:24">
      <c r="H39" s="83"/>
      <c r="I39" s="25" t="s">
        <v>44</v>
      </c>
      <c r="J39" s="96" t="s">
        <v>124</v>
      </c>
      <c r="K39" s="29"/>
      <c r="L39" s="55">
        <v>0</v>
      </c>
      <c r="M39" s="164"/>
      <c r="N39" s="163">
        <f>+M39*3</f>
        <v>0</v>
      </c>
      <c r="O39" s="113"/>
      <c r="P39" s="75">
        <f t="shared" si="3"/>
        <v>0</v>
      </c>
      <c r="Q39" s="49"/>
      <c r="R39" s="11">
        <f t="shared" si="1"/>
        <v>0</v>
      </c>
      <c r="S39" s="107"/>
      <c r="T39" s="5"/>
      <c r="U39" s="58"/>
      <c r="V39" s="59"/>
      <c r="W39" s="60"/>
      <c r="X39" s="65"/>
    </row>
    <row r="40" spans="8:24">
      <c r="H40" s="81"/>
      <c r="I40" s="25" t="s">
        <v>6</v>
      </c>
      <c r="J40" s="81" t="s">
        <v>116</v>
      </c>
      <c r="K40" s="29"/>
      <c r="L40" s="27"/>
      <c r="M40" s="164"/>
      <c r="N40" s="163">
        <f>+M40*3</f>
        <v>0</v>
      </c>
      <c r="O40" s="28"/>
      <c r="P40" s="75">
        <f t="shared" si="3"/>
        <v>0</v>
      </c>
      <c r="Q40" s="49"/>
      <c r="R40" s="57">
        <f t="shared" si="1"/>
        <v>0</v>
      </c>
      <c r="S40" s="107"/>
      <c r="T40" s="5"/>
      <c r="U40" s="58"/>
      <c r="V40" s="59"/>
      <c r="W40" s="60"/>
      <c r="X40" s="65"/>
    </row>
    <row r="41" spans="8:24">
      <c r="H41" s="83"/>
      <c r="I41" s="126" t="s">
        <v>53</v>
      </c>
      <c r="J41" s="80" t="s">
        <v>135</v>
      </c>
      <c r="K41" s="8"/>
      <c r="L41" s="54">
        <v>0</v>
      </c>
      <c r="M41" s="162"/>
      <c r="N41" s="163">
        <v>0</v>
      </c>
      <c r="O41" s="76">
        <v>30</v>
      </c>
      <c r="P41" s="75">
        <f t="shared" si="3"/>
        <v>150</v>
      </c>
      <c r="Q41" s="50"/>
      <c r="R41" s="11">
        <f t="shared" si="1"/>
        <v>150</v>
      </c>
      <c r="S41" s="106"/>
      <c r="T41" s="5"/>
      <c r="U41" s="58"/>
      <c r="V41" s="59"/>
      <c r="W41" s="60"/>
      <c r="X41" s="61"/>
    </row>
    <row r="42" spans="8:24">
      <c r="H42" s="81"/>
      <c r="I42" s="120" t="s">
        <v>12</v>
      </c>
      <c r="J42" s="150" t="s">
        <v>114</v>
      </c>
      <c r="K42" s="151"/>
      <c r="L42" s="146">
        <f>+K42*3</f>
        <v>0</v>
      </c>
      <c r="M42" s="165">
        <v>13</v>
      </c>
      <c r="N42" s="166">
        <v>0</v>
      </c>
      <c r="O42" s="122"/>
      <c r="P42" s="147">
        <f t="shared" si="3"/>
        <v>0</v>
      </c>
      <c r="Q42" s="153">
        <v>10</v>
      </c>
      <c r="R42" s="124">
        <f t="shared" si="1"/>
        <v>10</v>
      </c>
      <c r="S42" s="148"/>
      <c r="T42" s="5"/>
      <c r="U42" s="58"/>
      <c r="V42" s="59"/>
      <c r="W42" s="60"/>
      <c r="X42" s="61"/>
    </row>
    <row r="43" spans="8:24">
      <c r="I43" s="13"/>
      <c r="J43" s="14"/>
      <c r="K43" s="17">
        <f t="shared" ref="K43:S43" si="4">SUM(K5:K42)</f>
        <v>0</v>
      </c>
      <c r="L43" s="18">
        <f t="shared" si="4"/>
        <v>0</v>
      </c>
      <c r="M43" s="167">
        <f t="shared" si="4"/>
        <v>110</v>
      </c>
      <c r="N43" s="168">
        <f t="shared" si="4"/>
        <v>111</v>
      </c>
      <c r="O43" s="77">
        <f t="shared" si="4"/>
        <v>676</v>
      </c>
      <c r="P43" s="78">
        <f t="shared" si="4"/>
        <v>3000</v>
      </c>
      <c r="Q43" s="16">
        <f t="shared" si="4"/>
        <v>70</v>
      </c>
      <c r="R43" s="78">
        <f t="shared" si="4"/>
        <v>3181</v>
      </c>
      <c r="S43" s="102">
        <f t="shared" si="4"/>
        <v>0</v>
      </c>
      <c r="T43" s="5"/>
      <c r="U43" s="58"/>
      <c r="V43" s="59"/>
      <c r="W43" s="60"/>
      <c r="X43" s="65"/>
    </row>
    <row r="44" spans="8:24">
      <c r="J44" s="200">
        <f ca="1">TODAY()</f>
        <v>43825</v>
      </c>
      <c r="K44" s="41"/>
      <c r="M44" s="42"/>
      <c r="N44" s="41"/>
      <c r="O44" s="45" t="s">
        <v>81</v>
      </c>
      <c r="Q44" s="42"/>
      <c r="R44" s="45">
        <f>+R30+R15+R5+R33+R16</f>
        <v>310</v>
      </c>
      <c r="T44" s="5"/>
      <c r="U44" s="58"/>
      <c r="V44" s="59"/>
      <c r="W44" s="62"/>
      <c r="X44" s="60"/>
    </row>
    <row r="45" spans="8:24">
      <c r="L45" s="43"/>
      <c r="M45" s="44"/>
      <c r="N45" s="125"/>
      <c r="O45" s="43" t="s">
        <v>91</v>
      </c>
      <c r="P45" s="114"/>
      <c r="Q45" s="110" t="s">
        <v>58</v>
      </c>
      <c r="R45" s="111">
        <f>+R43-R44</f>
        <v>2871</v>
      </c>
      <c r="S45" s="109"/>
      <c r="T45" s="5"/>
      <c r="U45" s="58"/>
      <c r="V45" s="59"/>
      <c r="W45" s="62"/>
      <c r="X45" s="60"/>
    </row>
    <row r="46" spans="8:24">
      <c r="P46" s="19"/>
      <c r="U46" s="64"/>
      <c r="V46" s="59"/>
      <c r="W46" s="60"/>
      <c r="X46" s="68"/>
    </row>
    <row r="47" spans="8:24">
      <c r="I47" s="123" t="s">
        <v>86</v>
      </c>
      <c r="P47" s="19"/>
      <c r="U47" s="58"/>
      <c r="V47" s="66"/>
      <c r="W47" s="67"/>
      <c r="X47" s="69"/>
    </row>
    <row r="48" spans="8:24">
      <c r="I48" s="123" t="s">
        <v>87</v>
      </c>
      <c r="P48" s="19"/>
      <c r="U48" s="60"/>
      <c r="V48" s="59"/>
      <c r="W48" s="60"/>
      <c r="X48" s="60"/>
    </row>
    <row r="49" spans="9:24">
      <c r="I49" s="123" t="s">
        <v>88</v>
      </c>
      <c r="P49" s="19"/>
      <c r="U49" s="60"/>
      <c r="V49" s="59"/>
      <c r="W49" s="60"/>
      <c r="X49" s="60"/>
    </row>
    <row r="50" spans="9:24">
      <c r="I50" s="123" t="s">
        <v>89</v>
      </c>
      <c r="P50" s="19"/>
      <c r="U50" s="60"/>
      <c r="V50" s="59"/>
      <c r="W50" s="60"/>
      <c r="X50" s="60"/>
    </row>
    <row r="51" spans="9:24">
      <c r="I51" s="123" t="s">
        <v>90</v>
      </c>
      <c r="P51" s="19"/>
      <c r="U51" s="60"/>
      <c r="V51" s="59"/>
      <c r="W51" s="60"/>
      <c r="X51" s="60"/>
    </row>
    <row r="52" spans="9:24">
      <c r="U52" s="60"/>
      <c r="V52" s="59"/>
      <c r="W52" s="60"/>
      <c r="X52" s="60"/>
    </row>
    <row r="53" spans="9:24">
      <c r="P53" s="19"/>
      <c r="U53" s="60"/>
      <c r="V53" s="59"/>
      <c r="W53" s="60"/>
      <c r="X53" s="60"/>
    </row>
    <row r="54" spans="9:24">
      <c r="P54" s="19"/>
      <c r="U54" s="60"/>
      <c r="V54" s="59"/>
      <c r="W54" s="60"/>
      <c r="X54" s="60"/>
    </row>
    <row r="55" spans="9:24">
      <c r="P55" s="19"/>
      <c r="U55" s="60"/>
      <c r="V55" s="59"/>
      <c r="W55" s="60"/>
      <c r="X55" s="60"/>
    </row>
  </sheetData>
  <mergeCells count="4">
    <mergeCell ref="I2:R2"/>
    <mergeCell ref="K3:N3"/>
    <mergeCell ref="O3:P3"/>
    <mergeCell ref="T3:V3"/>
  </mergeCells>
  <conditionalFormatting sqref="R5">
    <cfRule type="cellIs" dxfId="18" priority="2" operator="lessThanOrEqual">
      <formula>0</formula>
    </cfRule>
  </conditionalFormatting>
  <conditionalFormatting sqref="R41:R42 R5:R39">
    <cfRule type="cellIs" dxfId="17" priority="1" operator="greaterThan">
      <formula>0</formula>
    </cfRule>
  </conditionalFormatting>
  <printOptions horizontalCentered="1"/>
  <pageMargins left="0" right="0" top="0.83" bottom="0" header="0" footer="0"/>
  <pageSetup paperSize="9" scale="89" orientation="portrait" r:id="rId1"/>
  <ignoredErrors>
    <ignoredError sqref="N19:N24 N28:N30 N26" formula="1"/>
  </ignoredErrors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55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H16" sqref="H16"/>
    </sheetView>
  </sheetViews>
  <sheetFormatPr baseColWidth="10" defaultRowHeight="15"/>
  <cols>
    <col min="1" max="1" width="5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7.28515625" customWidth="1"/>
    <col min="9" max="9" width="8.7109375" customWidth="1"/>
    <col min="10" max="10" width="24.140625" customWidth="1"/>
    <col min="11" max="12" width="4.7109375" customWidth="1"/>
    <col min="13" max="13" width="7" bestFit="1" customWidth="1"/>
    <col min="14" max="14" width="11.28515625" customWidth="1"/>
    <col min="15" max="15" width="7" bestFit="1" customWidth="1"/>
    <col min="16" max="16" width="11.42578125" customWidth="1"/>
    <col min="17" max="17" width="10.85546875" customWidth="1"/>
    <col min="18" max="18" width="13.85546875" customWidth="1"/>
    <col min="19" max="19" width="7.42578125" style="103" bestFit="1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4" ht="5.0999999999999996" customHeight="1"/>
    <row r="2" spans="8:24">
      <c r="H2" s="83"/>
      <c r="I2" s="439" t="s">
        <v>163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4">
      <c r="H3" s="83"/>
      <c r="I3" s="84"/>
      <c r="J3" s="84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4" ht="34.5">
      <c r="H4" s="83" t="s">
        <v>143</v>
      </c>
      <c r="I4" s="86" t="s">
        <v>7</v>
      </c>
      <c r="J4" s="86" t="s">
        <v>3</v>
      </c>
      <c r="K4" s="97"/>
      <c r="L4" s="98"/>
      <c r="M4" s="198" t="s">
        <v>15</v>
      </c>
      <c r="N4" s="198" t="s">
        <v>166</v>
      </c>
      <c r="O4" s="87" t="s">
        <v>15</v>
      </c>
      <c r="P4" s="87" t="s">
        <v>167</v>
      </c>
      <c r="Q4" s="99" t="s">
        <v>168</v>
      </c>
      <c r="R4" s="88" t="s">
        <v>103</v>
      </c>
      <c r="S4" s="140" t="s">
        <v>104</v>
      </c>
      <c r="T4" s="89"/>
      <c r="U4" s="83"/>
      <c r="V4" s="83"/>
    </row>
    <row r="5" spans="8:24">
      <c r="H5" s="143" t="s">
        <v>50</v>
      </c>
      <c r="I5" s="149" t="s">
        <v>5</v>
      </c>
      <c r="J5" s="155" t="s">
        <v>117</v>
      </c>
      <c r="K5" s="156"/>
      <c r="L5" s="157"/>
      <c r="M5" s="160"/>
      <c r="N5" s="161">
        <f>+M5*3</f>
        <v>0</v>
      </c>
      <c r="O5" s="23">
        <v>41</v>
      </c>
      <c r="P5" s="24">
        <f t="shared" ref="P5:P15" si="0">IF(O5&gt;25,150,(O5)*6)</f>
        <v>150</v>
      </c>
      <c r="Q5" s="152"/>
      <c r="R5" s="24">
        <f t="shared" ref="R5:R42" si="1">+L5+N5+P5+Q5</f>
        <v>150</v>
      </c>
      <c r="S5" s="157"/>
      <c r="T5" s="5"/>
      <c r="U5" s="92">
        <v>828</v>
      </c>
      <c r="V5" s="93">
        <v>107.64</v>
      </c>
      <c r="W5" s="94">
        <v>720.36</v>
      </c>
      <c r="X5" s="70" t="s">
        <v>36</v>
      </c>
    </row>
    <row r="6" spans="8:24">
      <c r="H6" s="83"/>
      <c r="I6" s="126" t="s">
        <v>82</v>
      </c>
      <c r="J6" s="80" t="s">
        <v>141</v>
      </c>
      <c r="K6" s="8"/>
      <c r="L6" s="54">
        <v>0</v>
      </c>
      <c r="M6" s="162"/>
      <c r="N6" s="163">
        <f>+M6*3</f>
        <v>0</v>
      </c>
      <c r="O6" s="76"/>
      <c r="P6" s="75">
        <f t="shared" si="0"/>
        <v>0</v>
      </c>
      <c r="Q6" s="50"/>
      <c r="R6" s="11">
        <f t="shared" si="1"/>
        <v>0</v>
      </c>
      <c r="S6" s="106"/>
      <c r="T6" s="5"/>
      <c r="U6" s="30">
        <f>+V6+W6</f>
        <v>827.58620689655174</v>
      </c>
      <c r="V6" s="71">
        <f>+V5*W6/W5</f>
        <v>107.58620689655173</v>
      </c>
      <c r="W6" s="31">
        <v>720</v>
      </c>
      <c r="X6" s="36"/>
    </row>
    <row r="7" spans="8:24">
      <c r="H7" s="83"/>
      <c r="I7" s="126" t="s">
        <v>64</v>
      </c>
      <c r="J7" s="80" t="s">
        <v>138</v>
      </c>
      <c r="K7" s="8"/>
      <c r="L7" s="54">
        <v>0</v>
      </c>
      <c r="M7" s="162"/>
      <c r="N7" s="163">
        <f>+M7*3</f>
        <v>0</v>
      </c>
      <c r="O7" s="76">
        <v>36</v>
      </c>
      <c r="P7" s="75">
        <f t="shared" si="0"/>
        <v>150</v>
      </c>
      <c r="Q7" s="50"/>
      <c r="R7" s="11">
        <f t="shared" si="1"/>
        <v>150</v>
      </c>
      <c r="S7" s="106"/>
      <c r="T7" s="5"/>
      <c r="U7" s="32">
        <f>+U5-U6</f>
        <v>0.41379310344825626</v>
      </c>
      <c r="V7" s="47"/>
      <c r="W7" s="33"/>
      <c r="X7" s="4" t="s">
        <v>59</v>
      </c>
    </row>
    <row r="8" spans="8:24">
      <c r="H8" s="83"/>
      <c r="I8" s="25" t="s">
        <v>2</v>
      </c>
      <c r="J8" s="81" t="s">
        <v>107</v>
      </c>
      <c r="K8" s="29"/>
      <c r="L8" s="55"/>
      <c r="M8" s="164"/>
      <c r="N8" s="163">
        <f>+M8*3</f>
        <v>0</v>
      </c>
      <c r="O8" s="74">
        <v>45</v>
      </c>
      <c r="P8" s="75">
        <f t="shared" si="0"/>
        <v>150</v>
      </c>
      <c r="Q8" s="50"/>
      <c r="R8" s="9">
        <f t="shared" si="1"/>
        <v>150</v>
      </c>
      <c r="S8" s="138"/>
      <c r="T8" s="5"/>
      <c r="U8" s="34">
        <v>150</v>
      </c>
      <c r="V8" s="38">
        <f>+U8-U7</f>
        <v>149.58620689655174</v>
      </c>
      <c r="W8" s="39" t="s">
        <v>63</v>
      </c>
      <c r="X8" s="6">
        <f>150-V8</f>
        <v>0.41379310344825626</v>
      </c>
    </row>
    <row r="9" spans="8:24">
      <c r="H9" s="95"/>
      <c r="I9" s="25" t="s">
        <v>42</v>
      </c>
      <c r="J9" s="81" t="s">
        <v>119</v>
      </c>
      <c r="K9" s="26"/>
      <c r="L9" s="27"/>
      <c r="M9" s="164"/>
      <c r="N9" s="163">
        <f>+M9*3</f>
        <v>0</v>
      </c>
      <c r="O9" s="28">
        <v>33</v>
      </c>
      <c r="P9" s="75">
        <f t="shared" si="0"/>
        <v>150</v>
      </c>
      <c r="Q9" s="49"/>
      <c r="R9" s="11">
        <f t="shared" si="1"/>
        <v>150</v>
      </c>
      <c r="S9" s="107"/>
      <c r="T9" s="5"/>
      <c r="U9" s="10"/>
      <c r="X9" s="37"/>
    </row>
    <row r="10" spans="8:24" ht="15" customHeight="1">
      <c r="H10" s="83"/>
      <c r="I10" s="25" t="s">
        <v>1</v>
      </c>
      <c r="J10" s="81" t="s">
        <v>106</v>
      </c>
      <c r="K10" s="29"/>
      <c r="L10" s="55">
        <f>+K10*3</f>
        <v>0</v>
      </c>
      <c r="M10" s="164"/>
      <c r="N10" s="163">
        <f>3*M10</f>
        <v>0</v>
      </c>
      <c r="O10" s="74">
        <v>9</v>
      </c>
      <c r="P10" s="75">
        <f t="shared" si="0"/>
        <v>54</v>
      </c>
      <c r="Q10" s="50"/>
      <c r="R10" s="9">
        <f t="shared" si="1"/>
        <v>54</v>
      </c>
      <c r="S10" s="107"/>
      <c r="T10" s="5"/>
      <c r="U10" s="92">
        <v>856</v>
      </c>
      <c r="V10" s="93">
        <v>110.51</v>
      </c>
      <c r="W10" s="94">
        <v>745.49</v>
      </c>
      <c r="X10" s="70" t="s">
        <v>35</v>
      </c>
    </row>
    <row r="11" spans="8:24">
      <c r="H11" s="141"/>
      <c r="I11" s="126" t="s">
        <v>56</v>
      </c>
      <c r="J11" s="80" t="s">
        <v>136</v>
      </c>
      <c r="K11" s="8"/>
      <c r="L11" s="54">
        <v>0</v>
      </c>
      <c r="M11" s="162"/>
      <c r="N11" s="163">
        <f>M11*3</f>
        <v>0</v>
      </c>
      <c r="O11" s="76"/>
      <c r="P11" s="75">
        <f t="shared" si="0"/>
        <v>0</v>
      </c>
      <c r="Q11" s="195">
        <v>20</v>
      </c>
      <c r="R11" s="193">
        <f t="shared" si="1"/>
        <v>20</v>
      </c>
      <c r="S11" s="197"/>
      <c r="T11" s="5"/>
      <c r="U11" s="30">
        <f>+V11+W11</f>
        <v>826.7314115548163</v>
      </c>
      <c r="V11" s="71">
        <f>+V10*W11/W10</f>
        <v>106.73141155481629</v>
      </c>
      <c r="W11" s="31">
        <v>720</v>
      </c>
      <c r="X11" s="37"/>
    </row>
    <row r="12" spans="8:24">
      <c r="H12" s="95"/>
      <c r="I12" s="25" t="s">
        <v>16</v>
      </c>
      <c r="J12" s="81" t="s">
        <v>113</v>
      </c>
      <c r="K12" s="29"/>
      <c r="L12" s="54">
        <f>+K12*3</f>
        <v>0</v>
      </c>
      <c r="M12" s="164"/>
      <c r="N12" s="163">
        <v>0</v>
      </c>
      <c r="O12" s="28">
        <v>28</v>
      </c>
      <c r="P12" s="75">
        <f t="shared" si="0"/>
        <v>150</v>
      </c>
      <c r="Q12" s="49"/>
      <c r="R12" s="11">
        <f t="shared" si="1"/>
        <v>150</v>
      </c>
      <c r="S12" s="106"/>
      <c r="T12" s="5"/>
      <c r="U12" s="32">
        <f>+U10-U11</f>
        <v>29.268588445183696</v>
      </c>
      <c r="V12" s="47"/>
      <c r="W12" s="33"/>
      <c r="X12" s="4" t="s">
        <v>59</v>
      </c>
    </row>
    <row r="13" spans="8:24">
      <c r="H13" s="83"/>
      <c r="I13" s="25" t="s">
        <v>92</v>
      </c>
      <c r="J13" s="81" t="s">
        <v>109</v>
      </c>
      <c r="K13" s="29"/>
      <c r="L13" s="55">
        <f>+K13*5</f>
        <v>0</v>
      </c>
      <c r="M13" s="164"/>
      <c r="N13" s="163">
        <f>M13*3</f>
        <v>0</v>
      </c>
      <c r="O13" s="74">
        <v>23</v>
      </c>
      <c r="P13" s="75">
        <f t="shared" si="0"/>
        <v>138</v>
      </c>
      <c r="Q13" s="50"/>
      <c r="R13" s="9">
        <f t="shared" si="1"/>
        <v>138</v>
      </c>
      <c r="S13" s="107"/>
      <c r="T13" s="5"/>
      <c r="U13" s="34">
        <v>150</v>
      </c>
      <c r="V13" s="38">
        <f>+U13-U12</f>
        <v>120.7314115548163</v>
      </c>
      <c r="W13" s="39" t="s">
        <v>63</v>
      </c>
      <c r="X13" s="6">
        <f>150-V13</f>
        <v>29.268588445183696</v>
      </c>
    </row>
    <row r="14" spans="8:24">
      <c r="H14" s="95"/>
      <c r="I14" s="25" t="s">
        <v>20</v>
      </c>
      <c r="J14" s="81" t="s">
        <v>115</v>
      </c>
      <c r="K14" s="29"/>
      <c r="L14" s="27"/>
      <c r="M14" s="164"/>
      <c r="N14" s="163">
        <f>+M14*3</f>
        <v>0</v>
      </c>
      <c r="O14" s="28"/>
      <c r="P14" s="75">
        <f t="shared" si="0"/>
        <v>0</v>
      </c>
      <c r="Q14" s="49"/>
      <c r="R14" s="9">
        <f t="shared" si="1"/>
        <v>0</v>
      </c>
      <c r="S14" s="107"/>
      <c r="T14" s="5"/>
      <c r="U14" s="10"/>
      <c r="X14" s="37"/>
    </row>
    <row r="15" spans="8:24">
      <c r="H15" s="143" t="s">
        <v>50</v>
      </c>
      <c r="I15" s="21" t="s">
        <v>77</v>
      </c>
      <c r="J15" s="20" t="s">
        <v>140</v>
      </c>
      <c r="K15" s="22"/>
      <c r="L15" s="56">
        <v>0</v>
      </c>
      <c r="M15" s="160"/>
      <c r="N15" s="161">
        <v>0</v>
      </c>
      <c r="O15" s="23"/>
      <c r="P15" s="24">
        <f t="shared" si="0"/>
        <v>0</v>
      </c>
      <c r="Q15" s="51"/>
      <c r="R15" s="24">
        <f t="shared" si="1"/>
        <v>0</v>
      </c>
      <c r="S15" s="108"/>
      <c r="T15" s="5"/>
      <c r="U15" s="92">
        <f>644+150</f>
        <v>794</v>
      </c>
      <c r="V15" s="93">
        <v>0</v>
      </c>
      <c r="W15" s="101">
        <v>769.08</v>
      </c>
      <c r="X15" s="100" t="s">
        <v>21</v>
      </c>
    </row>
    <row r="16" spans="8:24">
      <c r="H16" s="187" t="s">
        <v>165</v>
      </c>
      <c r="I16" s="188" t="s">
        <v>69</v>
      </c>
      <c r="J16" s="189" t="s">
        <v>162</v>
      </c>
      <c r="K16" s="190"/>
      <c r="L16" s="191">
        <f>+K16*3</f>
        <v>0</v>
      </c>
      <c r="M16" s="192"/>
      <c r="N16" s="193">
        <v>0</v>
      </c>
      <c r="O16" s="194"/>
      <c r="P16" s="193"/>
      <c r="Q16" s="195">
        <v>20</v>
      </c>
      <c r="R16" s="196">
        <f t="shared" si="1"/>
        <v>20</v>
      </c>
      <c r="S16" s="197"/>
      <c r="T16" s="5"/>
      <c r="U16" s="30">
        <f>+V16+W16</f>
        <v>720</v>
      </c>
      <c r="V16" s="71">
        <f>+V15*W16/W15</f>
        <v>0</v>
      </c>
      <c r="W16" s="31">
        <v>720</v>
      </c>
      <c r="X16" s="37"/>
    </row>
    <row r="17" spans="1:24">
      <c r="H17" s="95"/>
      <c r="I17" s="25" t="s">
        <v>25</v>
      </c>
      <c r="J17" s="81" t="s">
        <v>118</v>
      </c>
      <c r="K17" s="26"/>
      <c r="L17" s="27"/>
      <c r="M17" s="164"/>
      <c r="N17" s="163">
        <f>+M17*3</f>
        <v>0</v>
      </c>
      <c r="O17" s="28">
        <v>28</v>
      </c>
      <c r="P17" s="75">
        <f t="shared" ref="P17:P27" si="2">IF(O17&gt;25,150,(O17)*6)</f>
        <v>150</v>
      </c>
      <c r="Q17" s="49"/>
      <c r="R17" s="11">
        <f t="shared" si="1"/>
        <v>150</v>
      </c>
      <c r="S17" s="107"/>
      <c r="T17" s="5"/>
      <c r="U17" s="32">
        <f>+U15-U16</f>
        <v>74</v>
      </c>
      <c r="V17" s="47"/>
      <c r="W17" s="33"/>
      <c r="X17" s="4" t="s">
        <v>59</v>
      </c>
    </row>
    <row r="18" spans="1:24">
      <c r="H18" s="95"/>
      <c r="I18" s="25" t="s">
        <v>41</v>
      </c>
      <c r="J18" s="81" t="s">
        <v>112</v>
      </c>
      <c r="K18" s="29"/>
      <c r="L18" s="27"/>
      <c r="M18" s="164"/>
      <c r="N18" s="163">
        <f>+M18*3</f>
        <v>0</v>
      </c>
      <c r="O18" s="28">
        <v>19</v>
      </c>
      <c r="P18" s="75">
        <f t="shared" si="2"/>
        <v>114</v>
      </c>
      <c r="Q18" s="49"/>
      <c r="R18" s="11">
        <f t="shared" si="1"/>
        <v>114</v>
      </c>
      <c r="S18" s="107"/>
      <c r="T18" s="5"/>
      <c r="U18" s="34">
        <v>150</v>
      </c>
      <c r="V18" s="38">
        <f>+U18-U17</f>
        <v>76</v>
      </c>
      <c r="W18" s="39" t="s">
        <v>63</v>
      </c>
      <c r="X18" s="6">
        <f>150-V18</f>
        <v>74</v>
      </c>
    </row>
    <row r="19" spans="1:24">
      <c r="H19" s="83"/>
      <c r="I19" s="126" t="s">
        <v>71</v>
      </c>
      <c r="J19" s="80" t="s">
        <v>139</v>
      </c>
      <c r="K19" s="8"/>
      <c r="L19" s="54">
        <v>0</v>
      </c>
      <c r="M19" s="162"/>
      <c r="N19" s="163">
        <f>5*M19</f>
        <v>0</v>
      </c>
      <c r="O19" s="76">
        <v>34</v>
      </c>
      <c r="P19" s="75">
        <f t="shared" si="2"/>
        <v>150</v>
      </c>
      <c r="Q19" s="50"/>
      <c r="R19" s="11">
        <f t="shared" si="1"/>
        <v>150</v>
      </c>
      <c r="S19" s="106"/>
      <c r="T19" s="5"/>
      <c r="U19" s="10"/>
      <c r="X19" s="37"/>
    </row>
    <row r="20" spans="1:24">
      <c r="H20" s="141"/>
      <c r="I20" s="25" t="s">
        <v>28</v>
      </c>
      <c r="J20" s="81" t="s">
        <v>122</v>
      </c>
      <c r="K20" s="29"/>
      <c r="L20" s="55"/>
      <c r="M20" s="164"/>
      <c r="N20" s="163">
        <f>+M20*3</f>
        <v>0</v>
      </c>
      <c r="O20" s="74">
        <v>2</v>
      </c>
      <c r="P20" s="75">
        <f t="shared" si="2"/>
        <v>12</v>
      </c>
      <c r="Q20" s="50"/>
      <c r="R20" s="9">
        <f t="shared" si="1"/>
        <v>12</v>
      </c>
      <c r="S20" s="107"/>
      <c r="T20" s="5"/>
      <c r="U20" s="58"/>
      <c r="V20" s="59"/>
      <c r="W20" s="60"/>
      <c r="X20" s="61"/>
    </row>
    <row r="21" spans="1:24">
      <c r="H21" s="141"/>
      <c r="I21" s="25" t="s">
        <v>10</v>
      </c>
      <c r="J21" s="96" t="s">
        <v>129</v>
      </c>
      <c r="K21" s="35"/>
      <c r="L21" s="55">
        <f>+K21*3</f>
        <v>0</v>
      </c>
      <c r="M21" s="164"/>
      <c r="N21" s="163">
        <f>5*M21</f>
        <v>0</v>
      </c>
      <c r="O21" s="74"/>
      <c r="P21" s="75">
        <f t="shared" si="2"/>
        <v>0</v>
      </c>
      <c r="Q21" s="112"/>
      <c r="R21" s="9">
        <f t="shared" si="1"/>
        <v>0</v>
      </c>
      <c r="S21" s="107"/>
      <c r="T21" s="5"/>
      <c r="U21" s="103" t="s">
        <v>161</v>
      </c>
    </row>
    <row r="22" spans="1:24">
      <c r="H22" s="142"/>
      <c r="I22" s="25" t="s">
        <v>4</v>
      </c>
      <c r="J22" s="81" t="s">
        <v>111</v>
      </c>
      <c r="K22" s="29"/>
      <c r="L22" s="27"/>
      <c r="M22" s="164"/>
      <c r="N22" s="163">
        <v>0</v>
      </c>
      <c r="O22" s="28">
        <v>33</v>
      </c>
      <c r="P22" s="75">
        <f t="shared" si="2"/>
        <v>150</v>
      </c>
      <c r="Q22" s="49"/>
      <c r="R22" s="11">
        <f t="shared" si="1"/>
        <v>150</v>
      </c>
      <c r="S22" s="107"/>
      <c r="T22" s="5"/>
      <c r="U22" s="176" t="s">
        <v>158</v>
      </c>
      <c r="V22" s="177" t="s">
        <v>159</v>
      </c>
      <c r="W22" s="178"/>
      <c r="X22" s="174" t="s">
        <v>157</v>
      </c>
    </row>
    <row r="23" spans="1:24">
      <c r="H23" s="83"/>
      <c r="I23" s="25" t="s">
        <v>9</v>
      </c>
      <c r="J23" s="96" t="s">
        <v>128</v>
      </c>
      <c r="K23" s="35"/>
      <c r="L23" s="55">
        <f>+K23*3</f>
        <v>0</v>
      </c>
      <c r="M23" s="164"/>
      <c r="N23" s="163">
        <f>+M23*3</f>
        <v>0</v>
      </c>
      <c r="O23" s="74">
        <v>28</v>
      </c>
      <c r="P23" s="75">
        <f t="shared" si="2"/>
        <v>150</v>
      </c>
      <c r="Q23" s="112"/>
      <c r="R23" s="11">
        <f t="shared" si="1"/>
        <v>150</v>
      </c>
      <c r="S23" s="107"/>
      <c r="T23" s="5"/>
      <c r="U23" s="179">
        <v>43480</v>
      </c>
      <c r="V23" s="170">
        <v>1</v>
      </c>
      <c r="W23" s="180"/>
      <c r="X23" s="33" t="s">
        <v>156</v>
      </c>
    </row>
    <row r="24" spans="1:24">
      <c r="H24" s="83"/>
      <c r="I24" s="126" t="s">
        <v>51</v>
      </c>
      <c r="J24" s="82" t="s">
        <v>134</v>
      </c>
      <c r="K24" s="12"/>
      <c r="L24" s="54">
        <v>0</v>
      </c>
      <c r="M24" s="162"/>
      <c r="N24" s="163">
        <f>+M24*3</f>
        <v>0</v>
      </c>
      <c r="O24" s="76">
        <v>39</v>
      </c>
      <c r="P24" s="75">
        <f t="shared" si="2"/>
        <v>150</v>
      </c>
      <c r="Q24" s="49"/>
      <c r="R24" s="11">
        <f t="shared" si="1"/>
        <v>150</v>
      </c>
      <c r="S24" s="106"/>
      <c r="T24" s="5"/>
      <c r="U24" s="179">
        <f>1+U23</f>
        <v>43481</v>
      </c>
      <c r="V24" s="170">
        <v>1</v>
      </c>
      <c r="W24" s="181"/>
      <c r="X24" s="33" t="s">
        <v>151</v>
      </c>
    </row>
    <row r="25" spans="1:24">
      <c r="H25" s="83"/>
      <c r="I25" s="126" t="s">
        <v>61</v>
      </c>
      <c r="J25" s="80" t="s">
        <v>137</v>
      </c>
      <c r="K25" s="8"/>
      <c r="L25" s="54">
        <v>0</v>
      </c>
      <c r="M25" s="162"/>
      <c r="N25" s="163">
        <f>3*M25:M25</f>
        <v>0</v>
      </c>
      <c r="O25" s="72"/>
      <c r="P25" s="75">
        <f t="shared" si="2"/>
        <v>0</v>
      </c>
      <c r="Q25" s="50"/>
      <c r="R25" s="11">
        <f t="shared" si="1"/>
        <v>0</v>
      </c>
      <c r="S25" s="106"/>
      <c r="T25" s="5"/>
      <c r="U25" s="179">
        <f>1+U24</f>
        <v>43482</v>
      </c>
      <c r="V25" s="170">
        <v>1</v>
      </c>
      <c r="W25" s="182"/>
      <c r="X25" s="33" t="s">
        <v>152</v>
      </c>
    </row>
    <row r="26" spans="1:24">
      <c r="H26" s="83"/>
      <c r="I26" s="25" t="s">
        <v>14</v>
      </c>
      <c r="J26" s="96" t="s">
        <v>125</v>
      </c>
      <c r="K26" s="29"/>
      <c r="L26" s="55">
        <v>0</v>
      </c>
      <c r="M26" s="164"/>
      <c r="N26" s="163">
        <f>+M26*3</f>
        <v>0</v>
      </c>
      <c r="O26" s="74">
        <v>19</v>
      </c>
      <c r="P26" s="75">
        <f t="shared" si="2"/>
        <v>114</v>
      </c>
      <c r="Q26" s="49"/>
      <c r="R26" s="11">
        <f t="shared" si="1"/>
        <v>114</v>
      </c>
      <c r="S26" s="107"/>
      <c r="T26" s="5"/>
      <c r="U26" s="179">
        <f>1+U25</f>
        <v>43483</v>
      </c>
      <c r="V26" s="170">
        <v>1</v>
      </c>
      <c r="W26" s="181"/>
      <c r="X26" s="33" t="s">
        <v>153</v>
      </c>
    </row>
    <row r="27" spans="1:24">
      <c r="H27" s="83"/>
      <c r="I27" s="126" t="s">
        <v>79</v>
      </c>
      <c r="J27" s="82" t="s">
        <v>110</v>
      </c>
      <c r="K27" s="8"/>
      <c r="L27" s="54">
        <f>+K27*3</f>
        <v>0</v>
      </c>
      <c r="M27" s="164"/>
      <c r="N27" s="163">
        <f>+M27*3</f>
        <v>0</v>
      </c>
      <c r="O27" s="76">
        <v>13</v>
      </c>
      <c r="P27" s="75">
        <f t="shared" si="2"/>
        <v>78</v>
      </c>
      <c r="Q27" s="50"/>
      <c r="R27" s="11">
        <f t="shared" si="1"/>
        <v>78</v>
      </c>
      <c r="S27" s="106"/>
      <c r="T27" s="5"/>
      <c r="U27" s="179">
        <f>1+U26</f>
        <v>43484</v>
      </c>
      <c r="V27" s="170">
        <v>0.5</v>
      </c>
      <c r="W27" s="183"/>
      <c r="X27" s="33" t="s">
        <v>154</v>
      </c>
    </row>
    <row r="28" spans="1:24">
      <c r="A28" s="4"/>
      <c r="B28" s="4"/>
      <c r="C28" s="4"/>
      <c r="D28" s="3"/>
      <c r="E28" s="4"/>
      <c r="F28" s="40"/>
      <c r="G28" s="4"/>
      <c r="H28" s="83"/>
      <c r="I28" s="25" t="s">
        <v>0</v>
      </c>
      <c r="J28" s="81" t="s">
        <v>108</v>
      </c>
      <c r="K28" s="29"/>
      <c r="L28" s="55">
        <f>+K28*5</f>
        <v>0</v>
      </c>
      <c r="M28" s="164"/>
      <c r="N28" s="163">
        <f>+M28*5</f>
        <v>0</v>
      </c>
      <c r="O28" s="74"/>
      <c r="P28" s="75">
        <v>0</v>
      </c>
      <c r="Q28" s="50"/>
      <c r="R28" s="9">
        <f t="shared" si="1"/>
        <v>0</v>
      </c>
      <c r="S28" s="107"/>
      <c r="T28" s="5"/>
      <c r="U28" s="184"/>
      <c r="V28" s="170">
        <f>SUM(V23:V27)</f>
        <v>4.5</v>
      </c>
      <c r="W28" s="183" t="s">
        <v>148</v>
      </c>
      <c r="X28" s="175" t="s">
        <v>155</v>
      </c>
    </row>
    <row r="29" spans="1:24">
      <c r="H29" s="83"/>
      <c r="I29" s="25" t="s">
        <v>45</v>
      </c>
      <c r="J29" s="81" t="s">
        <v>133</v>
      </c>
      <c r="K29" s="26"/>
      <c r="L29" s="55">
        <v>0</v>
      </c>
      <c r="M29" s="164"/>
      <c r="N29" s="163">
        <f>+M29*3</f>
        <v>0</v>
      </c>
      <c r="O29" s="74">
        <v>37</v>
      </c>
      <c r="P29" s="75">
        <f t="shared" ref="P29:P42" si="3">IF(O29&gt;25,150,(O29)*6)</f>
        <v>150</v>
      </c>
      <c r="Q29" s="49"/>
      <c r="R29" s="11">
        <f t="shared" si="1"/>
        <v>150</v>
      </c>
      <c r="S29" s="107"/>
      <c r="T29" s="5"/>
      <c r="U29" s="184"/>
      <c r="V29" s="171">
        <v>18</v>
      </c>
      <c r="W29" s="185" t="s">
        <v>149</v>
      </c>
      <c r="X29" s="61"/>
    </row>
    <row r="30" spans="1:24" ht="16.5">
      <c r="H30" s="143" t="s">
        <v>50</v>
      </c>
      <c r="I30" s="21" t="s">
        <v>13</v>
      </c>
      <c r="J30" s="20" t="s">
        <v>121</v>
      </c>
      <c r="K30" s="22"/>
      <c r="L30" s="56">
        <f>+K30*3</f>
        <v>0</v>
      </c>
      <c r="M30" s="160"/>
      <c r="N30" s="161">
        <v>0</v>
      </c>
      <c r="O30" s="23"/>
      <c r="P30" s="24">
        <f t="shared" si="3"/>
        <v>0</v>
      </c>
      <c r="Q30" s="51"/>
      <c r="R30" s="24">
        <f t="shared" si="1"/>
        <v>0</v>
      </c>
      <c r="S30" s="108"/>
      <c r="T30" s="5"/>
      <c r="U30" s="186" t="s">
        <v>160</v>
      </c>
      <c r="V30" s="172">
        <f>+V29/V28</f>
        <v>4</v>
      </c>
      <c r="W30" s="173" t="s">
        <v>150</v>
      </c>
      <c r="X30" s="61"/>
    </row>
    <row r="31" spans="1:24">
      <c r="H31" s="83"/>
      <c r="I31" s="25" t="s">
        <v>31</v>
      </c>
      <c r="J31" s="81" t="s">
        <v>127</v>
      </c>
      <c r="K31" s="29"/>
      <c r="L31" s="55">
        <f>+K31*3</f>
        <v>0</v>
      </c>
      <c r="M31" s="164"/>
      <c r="N31" s="163">
        <v>0</v>
      </c>
      <c r="O31" s="74">
        <v>15</v>
      </c>
      <c r="P31" s="75">
        <f t="shared" si="3"/>
        <v>90</v>
      </c>
      <c r="Q31" s="49"/>
      <c r="R31" s="11">
        <f t="shared" si="1"/>
        <v>90</v>
      </c>
      <c r="S31" s="107"/>
      <c r="T31" s="5"/>
      <c r="U31" s="58"/>
      <c r="V31" s="59"/>
      <c r="W31" s="60"/>
      <c r="X31" s="65"/>
    </row>
    <row r="32" spans="1:24" s="4" customFormat="1">
      <c r="A32"/>
      <c r="B32"/>
      <c r="C32"/>
      <c r="D32" s="1"/>
      <c r="E32"/>
      <c r="F32" s="2"/>
      <c r="G32"/>
      <c r="H32" s="83"/>
      <c r="I32" s="25" t="s">
        <v>30</v>
      </c>
      <c r="J32" s="81" t="s">
        <v>126</v>
      </c>
      <c r="K32" s="29"/>
      <c r="L32" s="55">
        <v>0</v>
      </c>
      <c r="M32" s="164"/>
      <c r="N32" s="163">
        <f>+M32*3</f>
        <v>0</v>
      </c>
      <c r="O32" s="28">
        <v>32</v>
      </c>
      <c r="P32" s="11">
        <f t="shared" si="3"/>
        <v>150</v>
      </c>
      <c r="Q32" s="49"/>
      <c r="R32" s="11">
        <f t="shared" si="1"/>
        <v>150</v>
      </c>
      <c r="S32" s="107"/>
      <c r="T32" s="5"/>
      <c r="U32" s="64"/>
      <c r="V32" s="59"/>
      <c r="W32" s="60"/>
      <c r="X32" s="68"/>
    </row>
    <row r="33" spans="8:24">
      <c r="H33" s="143" t="s">
        <v>50</v>
      </c>
      <c r="I33" s="21" t="s">
        <v>17</v>
      </c>
      <c r="J33" s="20" t="s">
        <v>123</v>
      </c>
      <c r="K33" s="22"/>
      <c r="L33" s="157">
        <f>+K33*3</f>
        <v>0</v>
      </c>
      <c r="M33" s="160"/>
      <c r="N33" s="161">
        <f>+M33*3</f>
        <v>0</v>
      </c>
      <c r="O33" s="23">
        <v>17</v>
      </c>
      <c r="P33" s="24">
        <f t="shared" si="3"/>
        <v>102</v>
      </c>
      <c r="Q33" s="51"/>
      <c r="R33" s="24">
        <f t="shared" si="1"/>
        <v>102</v>
      </c>
      <c r="S33" s="158"/>
      <c r="T33" s="5"/>
      <c r="U33" s="58"/>
      <c r="V33" s="66"/>
      <c r="W33" s="67"/>
      <c r="X33" s="69"/>
    </row>
    <row r="34" spans="8:24">
      <c r="H34" s="83"/>
      <c r="I34" s="25" t="s">
        <v>60</v>
      </c>
      <c r="J34" s="81" t="s">
        <v>132</v>
      </c>
      <c r="K34" s="26"/>
      <c r="L34" s="55"/>
      <c r="M34" s="164"/>
      <c r="N34" s="163">
        <v>0</v>
      </c>
      <c r="O34" s="74"/>
      <c r="P34" s="75">
        <f t="shared" si="3"/>
        <v>0</v>
      </c>
      <c r="Q34" s="49"/>
      <c r="R34" s="11">
        <f t="shared" si="1"/>
        <v>0</v>
      </c>
      <c r="S34" s="107"/>
      <c r="T34" s="5"/>
      <c r="U34" s="58"/>
      <c r="V34" s="59"/>
      <c r="W34" s="60"/>
      <c r="X34" s="65"/>
    </row>
    <row r="35" spans="8:24">
      <c r="H35" s="142"/>
      <c r="I35" s="25" t="s">
        <v>8</v>
      </c>
      <c r="J35" s="81" t="s">
        <v>120</v>
      </c>
      <c r="K35" s="29"/>
      <c r="L35" s="27"/>
      <c r="M35" s="164"/>
      <c r="N35" s="163">
        <f>+M35*3</f>
        <v>0</v>
      </c>
      <c r="O35" s="28">
        <v>15</v>
      </c>
      <c r="P35" s="75">
        <f t="shared" si="3"/>
        <v>90</v>
      </c>
      <c r="Q35" s="49"/>
      <c r="R35" s="57">
        <f t="shared" si="1"/>
        <v>90</v>
      </c>
      <c r="S35" s="107"/>
      <c r="T35" s="5"/>
      <c r="U35" s="58"/>
      <c r="V35" s="59">
        <v>17.142900000000001</v>
      </c>
      <c r="W35" s="60"/>
      <c r="X35" s="61"/>
    </row>
    <row r="36" spans="8:24">
      <c r="H36" s="83"/>
      <c r="I36" s="25" t="s">
        <v>11</v>
      </c>
      <c r="J36" s="96" t="s">
        <v>130</v>
      </c>
      <c r="K36" s="35"/>
      <c r="L36" s="55">
        <f>+K36*3</f>
        <v>0</v>
      </c>
      <c r="M36" s="164"/>
      <c r="N36" s="163">
        <f>+M36*3</f>
        <v>0</v>
      </c>
      <c r="O36" s="74">
        <v>31</v>
      </c>
      <c r="P36" s="75">
        <f t="shared" si="3"/>
        <v>150</v>
      </c>
      <c r="Q36" s="112"/>
      <c r="R36" s="11">
        <f t="shared" si="1"/>
        <v>150</v>
      </c>
      <c r="S36" s="107"/>
      <c r="T36" s="5"/>
      <c r="U36" s="58"/>
      <c r="V36" s="59">
        <f>+V35/6*7</f>
        <v>20.000050000000002</v>
      </c>
      <c r="W36" s="62"/>
      <c r="X36" s="63"/>
    </row>
    <row r="37" spans="8:24">
      <c r="H37" s="83"/>
      <c r="I37" s="25" t="s">
        <v>48</v>
      </c>
      <c r="J37" s="81" t="s">
        <v>131</v>
      </c>
      <c r="K37" s="26"/>
      <c r="L37" s="55"/>
      <c r="M37" s="164"/>
      <c r="N37" s="163">
        <f>+M37*3</f>
        <v>0</v>
      </c>
      <c r="O37" s="74">
        <v>2</v>
      </c>
      <c r="P37" s="75">
        <f t="shared" si="3"/>
        <v>12</v>
      </c>
      <c r="Q37" s="49"/>
      <c r="R37" s="11">
        <f t="shared" si="1"/>
        <v>12</v>
      </c>
      <c r="S37" s="107"/>
      <c r="T37" s="5"/>
      <c r="U37" s="58"/>
      <c r="V37" s="66"/>
      <c r="W37" s="67"/>
      <c r="X37" s="66"/>
    </row>
    <row r="38" spans="8:24">
      <c r="H38" s="144"/>
      <c r="I38" s="25" t="s">
        <v>84</v>
      </c>
      <c r="J38" s="96" t="s">
        <v>142</v>
      </c>
      <c r="K38" s="145"/>
      <c r="L38" s="55">
        <v>0</v>
      </c>
      <c r="M38" s="164"/>
      <c r="N38" s="163">
        <v>0</v>
      </c>
      <c r="O38" s="28">
        <v>21</v>
      </c>
      <c r="P38" s="11">
        <f t="shared" si="3"/>
        <v>126</v>
      </c>
      <c r="Q38" s="112"/>
      <c r="R38" s="11">
        <f t="shared" si="1"/>
        <v>126</v>
      </c>
      <c r="S38" s="107"/>
      <c r="T38" s="5"/>
      <c r="U38" s="58"/>
      <c r="V38" s="66"/>
      <c r="W38" s="67"/>
      <c r="X38" s="66"/>
    </row>
    <row r="39" spans="8:24">
      <c r="H39" s="83"/>
      <c r="I39" s="25" t="s">
        <v>44</v>
      </c>
      <c r="J39" s="96" t="s">
        <v>124</v>
      </c>
      <c r="K39" s="29"/>
      <c r="L39" s="55">
        <v>0</v>
      </c>
      <c r="M39" s="164"/>
      <c r="N39" s="163">
        <f>+M39*3</f>
        <v>0</v>
      </c>
      <c r="O39" s="113"/>
      <c r="P39" s="75">
        <f t="shared" si="3"/>
        <v>0</v>
      </c>
      <c r="Q39" s="49"/>
      <c r="R39" s="11">
        <f t="shared" si="1"/>
        <v>0</v>
      </c>
      <c r="S39" s="107"/>
      <c r="T39" s="5"/>
      <c r="U39" s="58"/>
      <c r="V39" s="59"/>
      <c r="W39" s="60"/>
      <c r="X39" s="65"/>
    </row>
    <row r="40" spans="8:24">
      <c r="H40" s="81"/>
      <c r="I40" s="25" t="s">
        <v>6</v>
      </c>
      <c r="J40" s="81" t="s">
        <v>116</v>
      </c>
      <c r="K40" s="29"/>
      <c r="L40" s="27"/>
      <c r="M40" s="164"/>
      <c r="N40" s="163">
        <f>+M40*3</f>
        <v>0</v>
      </c>
      <c r="O40" s="28"/>
      <c r="P40" s="75">
        <f t="shared" si="3"/>
        <v>0</v>
      </c>
      <c r="Q40" s="49"/>
      <c r="R40" s="57">
        <f t="shared" si="1"/>
        <v>0</v>
      </c>
      <c r="S40" s="107"/>
      <c r="T40" s="5"/>
      <c r="U40" s="58"/>
      <c r="V40" s="59"/>
      <c r="W40" s="60"/>
      <c r="X40" s="65"/>
    </row>
    <row r="41" spans="8:24">
      <c r="H41" s="83"/>
      <c r="I41" s="126" t="s">
        <v>53</v>
      </c>
      <c r="J41" s="80" t="s">
        <v>135</v>
      </c>
      <c r="K41" s="8"/>
      <c r="L41" s="54">
        <v>0</v>
      </c>
      <c r="M41" s="162"/>
      <c r="N41" s="163">
        <v>0</v>
      </c>
      <c r="O41" s="76">
        <v>34</v>
      </c>
      <c r="P41" s="75">
        <f t="shared" si="3"/>
        <v>150</v>
      </c>
      <c r="Q41" s="50"/>
      <c r="R41" s="11">
        <f t="shared" si="1"/>
        <v>150</v>
      </c>
      <c r="S41" s="106"/>
      <c r="T41" s="5"/>
      <c r="U41" s="58"/>
      <c r="V41" s="59"/>
      <c r="W41" s="60"/>
      <c r="X41" s="61"/>
    </row>
    <row r="42" spans="8:24">
      <c r="H42" s="81"/>
      <c r="I42" s="120" t="s">
        <v>12</v>
      </c>
      <c r="J42" s="150" t="s">
        <v>114</v>
      </c>
      <c r="K42" s="151"/>
      <c r="L42" s="146">
        <f>+K42*3</f>
        <v>0</v>
      </c>
      <c r="M42" s="165"/>
      <c r="N42" s="166">
        <f>3*M42</f>
        <v>0</v>
      </c>
      <c r="O42" s="122"/>
      <c r="P42" s="147">
        <f t="shared" si="3"/>
        <v>0</v>
      </c>
      <c r="Q42" s="153"/>
      <c r="R42" s="124">
        <f t="shared" si="1"/>
        <v>0</v>
      </c>
      <c r="S42" s="148"/>
      <c r="T42" s="5"/>
      <c r="U42" s="58"/>
      <c r="V42" s="59"/>
      <c r="W42" s="60"/>
      <c r="X42" s="61"/>
    </row>
    <row r="43" spans="8:24">
      <c r="I43" s="13"/>
      <c r="J43" s="14"/>
      <c r="K43" s="17">
        <f t="shared" ref="K43:S43" si="4">SUM(K5:K42)</f>
        <v>0</v>
      </c>
      <c r="L43" s="18">
        <f t="shared" si="4"/>
        <v>0</v>
      </c>
      <c r="M43" s="167">
        <f t="shared" si="4"/>
        <v>0</v>
      </c>
      <c r="N43" s="168">
        <f t="shared" si="4"/>
        <v>0</v>
      </c>
      <c r="O43" s="77">
        <f t="shared" si="4"/>
        <v>634</v>
      </c>
      <c r="P43" s="78">
        <f t="shared" si="4"/>
        <v>3030</v>
      </c>
      <c r="Q43" s="16">
        <f t="shared" si="4"/>
        <v>40</v>
      </c>
      <c r="R43" s="78">
        <f t="shared" si="4"/>
        <v>3070</v>
      </c>
      <c r="S43" s="102">
        <f t="shared" si="4"/>
        <v>0</v>
      </c>
      <c r="T43" s="5"/>
      <c r="U43" s="58"/>
      <c r="V43" s="59"/>
      <c r="W43" s="60"/>
      <c r="X43" s="65"/>
    </row>
    <row r="44" spans="8:24">
      <c r="K44" s="41"/>
      <c r="M44" s="42"/>
      <c r="N44" s="41"/>
      <c r="O44" s="45" t="s">
        <v>81</v>
      </c>
      <c r="Q44" s="42"/>
      <c r="R44" s="45">
        <f>+R30+R15+R5+R33+R16+R11</f>
        <v>292</v>
      </c>
      <c r="T44" s="5"/>
      <c r="U44" s="58"/>
      <c r="V44" s="59"/>
      <c r="W44" s="62"/>
      <c r="X44" s="60"/>
    </row>
    <row r="45" spans="8:24">
      <c r="L45" s="43"/>
      <c r="M45" s="44"/>
      <c r="N45" s="125"/>
      <c r="O45" s="43" t="s">
        <v>91</v>
      </c>
      <c r="P45" s="114"/>
      <c r="Q45" s="110" t="s">
        <v>58</v>
      </c>
      <c r="R45" s="111">
        <f>+R43-R44</f>
        <v>2778</v>
      </c>
      <c r="S45" s="109"/>
      <c r="T45" s="5"/>
      <c r="U45" s="58"/>
      <c r="V45" s="59"/>
      <c r="W45" s="62"/>
      <c r="X45" s="60"/>
    </row>
    <row r="46" spans="8:24">
      <c r="P46" s="19"/>
      <c r="U46" s="64"/>
      <c r="V46" s="59"/>
      <c r="W46" s="60"/>
      <c r="X46" s="68"/>
    </row>
    <row r="47" spans="8:24">
      <c r="I47" s="123" t="s">
        <v>86</v>
      </c>
      <c r="P47" s="19"/>
      <c r="U47" s="58"/>
      <c r="V47" s="66"/>
      <c r="W47" s="67"/>
      <c r="X47" s="69"/>
    </row>
    <row r="48" spans="8:24">
      <c r="I48" s="123" t="s">
        <v>87</v>
      </c>
      <c r="P48" s="19"/>
      <c r="U48" s="60"/>
      <c r="V48" s="59"/>
      <c r="W48" s="60"/>
      <c r="X48" s="60"/>
    </row>
    <row r="49" spans="9:24">
      <c r="I49" s="123" t="s">
        <v>88</v>
      </c>
      <c r="P49" s="19"/>
      <c r="U49" s="60"/>
      <c r="V49" s="59"/>
      <c r="W49" s="60"/>
      <c r="X49" s="60"/>
    </row>
    <row r="50" spans="9:24">
      <c r="I50" s="123" t="s">
        <v>89</v>
      </c>
      <c r="P50" s="19"/>
      <c r="U50" s="60"/>
      <c r="V50" s="59"/>
      <c r="W50" s="60"/>
      <c r="X50" s="60"/>
    </row>
    <row r="51" spans="9:24">
      <c r="I51" s="123" t="s">
        <v>90</v>
      </c>
      <c r="P51" s="19"/>
      <c r="U51" s="60"/>
      <c r="V51" s="59"/>
      <c r="W51" s="60"/>
      <c r="X51" s="60"/>
    </row>
    <row r="52" spans="9:24">
      <c r="U52" s="60"/>
      <c r="V52" s="59"/>
      <c r="W52" s="60"/>
      <c r="X52" s="60"/>
    </row>
    <row r="53" spans="9:24">
      <c r="P53" s="19"/>
      <c r="U53" s="60"/>
      <c r="V53" s="59"/>
      <c r="W53" s="60"/>
      <c r="X53" s="60"/>
    </row>
    <row r="54" spans="9:24">
      <c r="P54" s="19"/>
      <c r="U54" s="60"/>
      <c r="V54" s="59"/>
      <c r="W54" s="60"/>
      <c r="X54" s="60"/>
    </row>
    <row r="55" spans="9:24">
      <c r="P55" s="19"/>
      <c r="U55" s="60"/>
      <c r="V55" s="59"/>
      <c r="W55" s="60"/>
      <c r="X55" s="60"/>
    </row>
  </sheetData>
  <mergeCells count="4">
    <mergeCell ref="I2:R2"/>
    <mergeCell ref="K3:N3"/>
    <mergeCell ref="O3:P3"/>
    <mergeCell ref="T3:V3"/>
  </mergeCells>
  <conditionalFormatting sqref="R5">
    <cfRule type="cellIs" dxfId="16" priority="2" operator="lessThanOrEqual">
      <formula>0</formula>
    </cfRule>
  </conditionalFormatting>
  <conditionalFormatting sqref="R41:R42 R5:R39">
    <cfRule type="cellIs" dxfId="15" priority="1" operator="greaterThan">
      <formula>0</formula>
    </cfRule>
  </conditionalFormatting>
  <printOptions horizontalCentered="1"/>
  <pageMargins left="0" right="0" top="0.83" bottom="0" header="0" footer="0"/>
  <pageSetup paperSize="9" scale="85" orientation="portrait" r:id="rId1"/>
  <ignoredErrors>
    <ignoredError sqref="N19:N29" formula="1"/>
  </ignoredErrors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55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H16" sqref="H16"/>
    </sheetView>
  </sheetViews>
  <sheetFormatPr baseColWidth="10" defaultRowHeight="15"/>
  <cols>
    <col min="1" max="1" width="5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7.28515625" customWidth="1"/>
    <col min="9" max="9" width="8.7109375" customWidth="1"/>
    <col min="10" max="10" width="24.140625" customWidth="1"/>
    <col min="11" max="12" width="4.7109375" customWidth="1"/>
    <col min="13" max="13" width="7" bestFit="1" customWidth="1"/>
    <col min="14" max="14" width="11.28515625" customWidth="1"/>
    <col min="15" max="15" width="7" bestFit="1" customWidth="1"/>
    <col min="16" max="16" width="11.42578125" customWidth="1"/>
    <col min="17" max="17" width="10.85546875" customWidth="1"/>
    <col min="18" max="18" width="13.85546875" customWidth="1"/>
    <col min="19" max="19" width="7.42578125" style="103" bestFit="1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5.7109375" customWidth="1"/>
  </cols>
  <sheetData>
    <row r="1" spans="8:24" ht="5.0999999999999996" customHeight="1"/>
    <row r="2" spans="8:24">
      <c r="H2" s="83"/>
      <c r="I2" s="439" t="s">
        <v>144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4">
      <c r="H3" s="83"/>
      <c r="I3" s="84"/>
      <c r="J3" s="84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4" ht="34.5">
      <c r="H4" s="83" t="s">
        <v>143</v>
      </c>
      <c r="I4" s="86" t="s">
        <v>7</v>
      </c>
      <c r="J4" s="86" t="s">
        <v>3</v>
      </c>
      <c r="K4" s="97"/>
      <c r="L4" s="98"/>
      <c r="M4" s="159" t="s">
        <v>15</v>
      </c>
      <c r="N4" s="169" t="s">
        <v>147</v>
      </c>
      <c r="O4" s="87" t="s">
        <v>15</v>
      </c>
      <c r="P4" s="87" t="s">
        <v>145</v>
      </c>
      <c r="Q4" s="99" t="s">
        <v>146</v>
      </c>
      <c r="R4" s="88" t="s">
        <v>103</v>
      </c>
      <c r="S4" s="140" t="s">
        <v>104</v>
      </c>
      <c r="T4" s="89"/>
      <c r="U4" s="83"/>
      <c r="V4" s="83"/>
    </row>
    <row r="5" spans="8:24">
      <c r="H5" s="143" t="s">
        <v>50</v>
      </c>
      <c r="I5" s="149" t="s">
        <v>5</v>
      </c>
      <c r="J5" s="155" t="s">
        <v>117</v>
      </c>
      <c r="K5" s="156"/>
      <c r="L5" s="157"/>
      <c r="M5" s="160"/>
      <c r="N5" s="161">
        <f>+M5*3</f>
        <v>0</v>
      </c>
      <c r="O5" s="23">
        <v>37</v>
      </c>
      <c r="P5" s="24">
        <f t="shared" ref="P5:P15" si="0">IF(O5&gt;25,150,(O5)*6)</f>
        <v>150</v>
      </c>
      <c r="Q5" s="152"/>
      <c r="R5" s="24">
        <f t="shared" ref="R5:R42" si="1">+L5+N5+P5+Q5</f>
        <v>150</v>
      </c>
      <c r="S5" s="157"/>
      <c r="T5" s="5"/>
      <c r="U5" s="92">
        <v>828</v>
      </c>
      <c r="V5" s="93">
        <v>107.64</v>
      </c>
      <c r="W5" s="94">
        <v>720.36</v>
      </c>
      <c r="X5" s="70" t="s">
        <v>36</v>
      </c>
    </row>
    <row r="6" spans="8:24">
      <c r="H6" s="83"/>
      <c r="I6" s="126" t="s">
        <v>82</v>
      </c>
      <c r="J6" s="80" t="s">
        <v>141</v>
      </c>
      <c r="K6" s="8"/>
      <c r="L6" s="54">
        <v>0</v>
      </c>
      <c r="M6" s="162"/>
      <c r="N6" s="163">
        <f>+M6*3</f>
        <v>0</v>
      </c>
      <c r="O6" s="76"/>
      <c r="P6" s="75">
        <f t="shared" si="0"/>
        <v>0</v>
      </c>
      <c r="Q6" s="50"/>
      <c r="R6" s="11">
        <f t="shared" si="1"/>
        <v>0</v>
      </c>
      <c r="S6" s="106"/>
      <c r="T6" s="5"/>
      <c r="U6" s="30">
        <f>+V6+W6</f>
        <v>827.58620689655174</v>
      </c>
      <c r="V6" s="71">
        <f>+V5*W6/W5</f>
        <v>107.58620689655173</v>
      </c>
      <c r="W6" s="31">
        <v>720</v>
      </c>
      <c r="X6" s="36"/>
    </row>
    <row r="7" spans="8:24">
      <c r="H7" s="83"/>
      <c r="I7" s="126" t="s">
        <v>64</v>
      </c>
      <c r="J7" s="80" t="s">
        <v>138</v>
      </c>
      <c r="K7" s="8"/>
      <c r="L7" s="54">
        <v>0</v>
      </c>
      <c r="M7" s="162"/>
      <c r="N7" s="163">
        <f>+M7*3</f>
        <v>0</v>
      </c>
      <c r="O7" s="76">
        <v>32</v>
      </c>
      <c r="P7" s="75">
        <f t="shared" si="0"/>
        <v>150</v>
      </c>
      <c r="Q7" s="50"/>
      <c r="R7" s="11">
        <f t="shared" si="1"/>
        <v>150</v>
      </c>
      <c r="S7" s="106"/>
      <c r="T7" s="5"/>
      <c r="U7" s="32">
        <f>+U5-U6</f>
        <v>0.41379310344825626</v>
      </c>
      <c r="V7" s="47"/>
      <c r="W7" s="33"/>
      <c r="X7" s="4" t="s">
        <v>59</v>
      </c>
    </row>
    <row r="8" spans="8:24">
      <c r="H8" s="83"/>
      <c r="I8" s="25" t="s">
        <v>2</v>
      </c>
      <c r="J8" s="81" t="s">
        <v>107</v>
      </c>
      <c r="K8" s="29"/>
      <c r="L8" s="55"/>
      <c r="M8" s="164"/>
      <c r="N8" s="163">
        <f>+M8*3</f>
        <v>0</v>
      </c>
      <c r="O8" s="74">
        <v>42</v>
      </c>
      <c r="P8" s="75">
        <f t="shared" si="0"/>
        <v>150</v>
      </c>
      <c r="Q8" s="50"/>
      <c r="R8" s="9">
        <f t="shared" si="1"/>
        <v>150</v>
      </c>
      <c r="S8" s="138"/>
      <c r="T8" s="5"/>
      <c r="U8" s="34">
        <v>150</v>
      </c>
      <c r="V8" s="38">
        <f>+U8-U7</f>
        <v>149.58620689655174</v>
      </c>
      <c r="W8" s="39" t="s">
        <v>63</v>
      </c>
      <c r="X8" s="6">
        <f>150-V8</f>
        <v>0.41379310344825626</v>
      </c>
    </row>
    <row r="9" spans="8:24">
      <c r="H9" s="95"/>
      <c r="I9" s="25" t="s">
        <v>42</v>
      </c>
      <c r="J9" s="81" t="s">
        <v>119</v>
      </c>
      <c r="K9" s="26"/>
      <c r="L9" s="27"/>
      <c r="M9" s="164"/>
      <c r="N9" s="163">
        <f>+M9*3</f>
        <v>0</v>
      </c>
      <c r="O9" s="28">
        <v>30</v>
      </c>
      <c r="P9" s="75">
        <f t="shared" si="0"/>
        <v>150</v>
      </c>
      <c r="Q9" s="49"/>
      <c r="R9" s="11">
        <f t="shared" si="1"/>
        <v>150</v>
      </c>
      <c r="S9" s="107"/>
      <c r="T9" s="5"/>
      <c r="U9" s="10"/>
      <c r="X9" s="37"/>
    </row>
    <row r="10" spans="8:24" ht="15" customHeight="1">
      <c r="H10" s="83"/>
      <c r="I10" s="25" t="s">
        <v>1</v>
      </c>
      <c r="J10" s="81" t="s">
        <v>106</v>
      </c>
      <c r="K10" s="29"/>
      <c r="L10" s="55">
        <f>+K10*3</f>
        <v>0</v>
      </c>
      <c r="M10" s="164"/>
      <c r="N10" s="163">
        <f>3*M10</f>
        <v>0</v>
      </c>
      <c r="O10" s="74">
        <v>36</v>
      </c>
      <c r="P10" s="75">
        <f t="shared" si="0"/>
        <v>150</v>
      </c>
      <c r="Q10" s="50"/>
      <c r="R10" s="9">
        <f t="shared" si="1"/>
        <v>150</v>
      </c>
      <c r="S10" s="107"/>
      <c r="T10" s="5"/>
      <c r="U10" s="92">
        <v>856</v>
      </c>
      <c r="V10" s="93">
        <v>110.51</v>
      </c>
      <c r="W10" s="94">
        <v>745.49</v>
      </c>
      <c r="X10" s="70" t="s">
        <v>35</v>
      </c>
    </row>
    <row r="11" spans="8:24">
      <c r="H11" s="141"/>
      <c r="I11" s="126" t="s">
        <v>56</v>
      </c>
      <c r="J11" s="80" t="s">
        <v>136</v>
      </c>
      <c r="K11" s="8"/>
      <c r="L11" s="54">
        <v>0</v>
      </c>
      <c r="M11" s="162">
        <v>18</v>
      </c>
      <c r="N11" s="163">
        <f>M11*3</f>
        <v>54</v>
      </c>
      <c r="O11" s="76"/>
      <c r="P11" s="75">
        <f t="shared" si="0"/>
        <v>0</v>
      </c>
      <c r="Q11" s="50"/>
      <c r="R11" s="11">
        <f t="shared" si="1"/>
        <v>54</v>
      </c>
      <c r="S11" s="106"/>
      <c r="T11" s="5"/>
      <c r="U11" s="30">
        <f>+V11+W11</f>
        <v>826.7314115548163</v>
      </c>
      <c r="V11" s="71">
        <f>+V10*W11/W10</f>
        <v>106.73141155481629</v>
      </c>
      <c r="W11" s="31">
        <v>720</v>
      </c>
      <c r="X11" s="37"/>
    </row>
    <row r="12" spans="8:24">
      <c r="H12" s="95"/>
      <c r="I12" s="25" t="s">
        <v>16</v>
      </c>
      <c r="J12" s="81" t="s">
        <v>113</v>
      </c>
      <c r="K12" s="29"/>
      <c r="L12" s="54">
        <f>+K12*3</f>
        <v>0</v>
      </c>
      <c r="M12" s="164"/>
      <c r="N12" s="163">
        <v>0</v>
      </c>
      <c r="O12" s="28">
        <v>33</v>
      </c>
      <c r="P12" s="75">
        <f t="shared" si="0"/>
        <v>150</v>
      </c>
      <c r="Q12" s="49"/>
      <c r="R12" s="11">
        <f t="shared" si="1"/>
        <v>150</v>
      </c>
      <c r="S12" s="106"/>
      <c r="T12" s="5"/>
      <c r="U12" s="32">
        <f>+U10-U11</f>
        <v>29.268588445183696</v>
      </c>
      <c r="V12" s="47"/>
      <c r="W12" s="33"/>
      <c r="X12" s="4" t="s">
        <v>59</v>
      </c>
    </row>
    <row r="13" spans="8:24">
      <c r="H13" s="83"/>
      <c r="I13" s="25" t="s">
        <v>92</v>
      </c>
      <c r="J13" s="81" t="s">
        <v>109</v>
      </c>
      <c r="K13" s="29"/>
      <c r="L13" s="55">
        <f>+K13*5</f>
        <v>0</v>
      </c>
      <c r="M13" s="164">
        <v>17</v>
      </c>
      <c r="N13" s="163">
        <f>17*3</f>
        <v>51</v>
      </c>
      <c r="O13" s="74"/>
      <c r="P13" s="75">
        <f t="shared" si="0"/>
        <v>0</v>
      </c>
      <c r="Q13" s="50"/>
      <c r="R13" s="9">
        <f t="shared" si="1"/>
        <v>51</v>
      </c>
      <c r="S13" s="107"/>
      <c r="T13" s="5"/>
      <c r="U13" s="34">
        <v>150</v>
      </c>
      <c r="V13" s="38">
        <f>+U13-U12</f>
        <v>120.7314115548163</v>
      </c>
      <c r="W13" s="39" t="s">
        <v>63</v>
      </c>
      <c r="X13" s="6">
        <f>150-V13</f>
        <v>29.268588445183696</v>
      </c>
    </row>
    <row r="14" spans="8:24">
      <c r="H14" s="95"/>
      <c r="I14" s="25" t="s">
        <v>20</v>
      </c>
      <c r="J14" s="81" t="s">
        <v>115</v>
      </c>
      <c r="K14" s="29"/>
      <c r="L14" s="27"/>
      <c r="M14" s="164"/>
      <c r="N14" s="163">
        <f>+M14*3</f>
        <v>0</v>
      </c>
      <c r="O14" s="28">
        <v>15</v>
      </c>
      <c r="P14" s="75">
        <f t="shared" si="0"/>
        <v>90</v>
      </c>
      <c r="Q14" s="49"/>
      <c r="R14" s="9">
        <f t="shared" si="1"/>
        <v>90</v>
      </c>
      <c r="S14" s="107"/>
      <c r="T14" s="5"/>
      <c r="U14" s="10"/>
      <c r="X14" s="37"/>
    </row>
    <row r="15" spans="8:24">
      <c r="H15" s="143" t="s">
        <v>50</v>
      </c>
      <c r="I15" s="21" t="s">
        <v>77</v>
      </c>
      <c r="J15" s="20" t="s">
        <v>140</v>
      </c>
      <c r="K15" s="22"/>
      <c r="L15" s="56">
        <v>0</v>
      </c>
      <c r="M15" s="160"/>
      <c r="N15" s="161">
        <v>0</v>
      </c>
      <c r="O15" s="23"/>
      <c r="P15" s="24">
        <f t="shared" si="0"/>
        <v>0</v>
      </c>
      <c r="Q15" s="51"/>
      <c r="R15" s="24">
        <f t="shared" si="1"/>
        <v>0</v>
      </c>
      <c r="S15" s="108"/>
      <c r="T15" s="5"/>
      <c r="U15" s="92">
        <f>644+150</f>
        <v>794</v>
      </c>
      <c r="V15" s="93">
        <v>0</v>
      </c>
      <c r="W15" s="101">
        <v>769.08</v>
      </c>
      <c r="X15" s="100" t="s">
        <v>21</v>
      </c>
    </row>
    <row r="16" spans="8:24">
      <c r="H16" s="187" t="s">
        <v>169</v>
      </c>
      <c r="I16" s="188" t="s">
        <v>69</v>
      </c>
      <c r="J16" s="189" t="s">
        <v>162</v>
      </c>
      <c r="K16" s="190"/>
      <c r="L16" s="191">
        <f>+K16*3</f>
        <v>0</v>
      </c>
      <c r="M16" s="192">
        <v>15</v>
      </c>
      <c r="N16" s="193">
        <v>0</v>
      </c>
      <c r="O16" s="194"/>
      <c r="P16" s="193"/>
      <c r="Q16" s="195"/>
      <c r="R16" s="196">
        <f t="shared" si="1"/>
        <v>0</v>
      </c>
      <c r="S16" s="197"/>
      <c r="T16" s="5"/>
      <c r="U16" s="30">
        <f>+V16+W16</f>
        <v>720</v>
      </c>
      <c r="V16" s="71">
        <f>+V15*W16/W15</f>
        <v>0</v>
      </c>
      <c r="W16" s="31">
        <v>720</v>
      </c>
      <c r="X16" s="37"/>
    </row>
    <row r="17" spans="1:24">
      <c r="H17" s="95"/>
      <c r="I17" s="25" t="s">
        <v>25</v>
      </c>
      <c r="J17" s="81" t="s">
        <v>118</v>
      </c>
      <c r="K17" s="26"/>
      <c r="L17" s="27"/>
      <c r="M17" s="164"/>
      <c r="N17" s="163">
        <f>+M17*3</f>
        <v>0</v>
      </c>
      <c r="O17" s="28">
        <v>26</v>
      </c>
      <c r="P17" s="75">
        <f t="shared" ref="P17:P27" si="2">IF(O17&gt;25,150,(O17)*6)</f>
        <v>150</v>
      </c>
      <c r="Q17" s="49"/>
      <c r="R17" s="11">
        <f t="shared" si="1"/>
        <v>150</v>
      </c>
      <c r="S17" s="107"/>
      <c r="T17" s="5"/>
      <c r="U17" s="32">
        <f>+U15-U16</f>
        <v>74</v>
      </c>
      <c r="V17" s="47"/>
      <c r="W17" s="33"/>
      <c r="X17" s="4" t="s">
        <v>59</v>
      </c>
    </row>
    <row r="18" spans="1:24">
      <c r="H18" s="95"/>
      <c r="I18" s="25" t="s">
        <v>41</v>
      </c>
      <c r="J18" s="81" t="s">
        <v>112</v>
      </c>
      <c r="K18" s="29"/>
      <c r="L18" s="27"/>
      <c r="M18" s="164"/>
      <c r="N18" s="163">
        <f>+M18*3</f>
        <v>0</v>
      </c>
      <c r="O18" s="28">
        <v>4</v>
      </c>
      <c r="P18" s="75">
        <f t="shared" si="2"/>
        <v>24</v>
      </c>
      <c r="Q18" s="49"/>
      <c r="R18" s="11">
        <f t="shared" si="1"/>
        <v>24</v>
      </c>
      <c r="S18" s="107"/>
      <c r="T18" s="5"/>
      <c r="U18" s="34">
        <v>150</v>
      </c>
      <c r="V18" s="38">
        <f>+U18-U17</f>
        <v>76</v>
      </c>
      <c r="W18" s="39" t="s">
        <v>63</v>
      </c>
      <c r="X18" s="6">
        <f>150-V18</f>
        <v>74</v>
      </c>
    </row>
    <row r="19" spans="1:24">
      <c r="H19" s="83"/>
      <c r="I19" s="126" t="s">
        <v>71</v>
      </c>
      <c r="J19" s="80" t="s">
        <v>139</v>
      </c>
      <c r="K19" s="8"/>
      <c r="L19" s="54">
        <v>0</v>
      </c>
      <c r="M19" s="162"/>
      <c r="N19" s="163">
        <f>5*M19</f>
        <v>0</v>
      </c>
      <c r="O19" s="76">
        <v>32</v>
      </c>
      <c r="P19" s="75">
        <f t="shared" si="2"/>
        <v>150</v>
      </c>
      <c r="Q19" s="50"/>
      <c r="R19" s="11">
        <f t="shared" si="1"/>
        <v>150</v>
      </c>
      <c r="S19" s="106"/>
      <c r="T19" s="5"/>
      <c r="U19" s="10"/>
      <c r="X19" s="37"/>
    </row>
    <row r="20" spans="1:24">
      <c r="H20" s="141"/>
      <c r="I20" s="25" t="s">
        <v>28</v>
      </c>
      <c r="J20" s="81" t="s">
        <v>122</v>
      </c>
      <c r="K20" s="29"/>
      <c r="L20" s="55"/>
      <c r="M20" s="164"/>
      <c r="N20" s="163">
        <f>+M20*3</f>
        <v>0</v>
      </c>
      <c r="O20" s="74">
        <v>39</v>
      </c>
      <c r="P20" s="75">
        <f t="shared" si="2"/>
        <v>150</v>
      </c>
      <c r="Q20" s="50"/>
      <c r="R20" s="9">
        <f t="shared" si="1"/>
        <v>150</v>
      </c>
      <c r="S20" s="107"/>
      <c r="T20" s="5"/>
      <c r="U20" s="58"/>
      <c r="V20" s="59"/>
      <c r="W20" s="60"/>
      <c r="X20" s="61"/>
    </row>
    <row r="21" spans="1:24">
      <c r="H21" s="141"/>
      <c r="I21" s="25" t="s">
        <v>10</v>
      </c>
      <c r="J21" s="96" t="s">
        <v>129</v>
      </c>
      <c r="K21" s="35"/>
      <c r="L21" s="55">
        <f>+K21*3</f>
        <v>0</v>
      </c>
      <c r="M21" s="164">
        <v>8</v>
      </c>
      <c r="N21" s="163">
        <f>5*M21</f>
        <v>40</v>
      </c>
      <c r="O21" s="74"/>
      <c r="P21" s="75">
        <f t="shared" si="2"/>
        <v>0</v>
      </c>
      <c r="Q21" s="112"/>
      <c r="R21" s="9">
        <f t="shared" si="1"/>
        <v>40</v>
      </c>
      <c r="S21" s="107"/>
      <c r="T21" s="5"/>
      <c r="U21" s="103" t="s">
        <v>161</v>
      </c>
    </row>
    <row r="22" spans="1:24">
      <c r="H22" s="142"/>
      <c r="I22" s="25" t="s">
        <v>4</v>
      </c>
      <c r="J22" s="81" t="s">
        <v>111</v>
      </c>
      <c r="K22" s="29"/>
      <c r="L22" s="27"/>
      <c r="M22" s="164"/>
      <c r="N22" s="163">
        <v>0</v>
      </c>
      <c r="O22" s="28">
        <v>38</v>
      </c>
      <c r="P22" s="75">
        <f t="shared" si="2"/>
        <v>150</v>
      </c>
      <c r="Q22" s="49"/>
      <c r="R22" s="11">
        <f t="shared" si="1"/>
        <v>150</v>
      </c>
      <c r="S22" s="107"/>
      <c r="T22" s="5"/>
      <c r="U22" s="176" t="s">
        <v>158</v>
      </c>
      <c r="V22" s="177" t="s">
        <v>159</v>
      </c>
      <c r="W22" s="178"/>
      <c r="X22" s="174" t="s">
        <v>157</v>
      </c>
    </row>
    <row r="23" spans="1:24">
      <c r="H23" s="83"/>
      <c r="I23" s="25" t="s">
        <v>9</v>
      </c>
      <c r="J23" s="96" t="s">
        <v>128</v>
      </c>
      <c r="K23" s="35"/>
      <c r="L23" s="55">
        <f>+K23*3</f>
        <v>0</v>
      </c>
      <c r="M23" s="164"/>
      <c r="N23" s="163">
        <f>+M23*3</f>
        <v>0</v>
      </c>
      <c r="O23" s="74">
        <v>36</v>
      </c>
      <c r="P23" s="75">
        <f t="shared" si="2"/>
        <v>150</v>
      </c>
      <c r="Q23" s="112"/>
      <c r="R23" s="11">
        <f t="shared" si="1"/>
        <v>150</v>
      </c>
      <c r="S23" s="107"/>
      <c r="T23" s="5"/>
      <c r="U23" s="179">
        <v>43480</v>
      </c>
      <c r="V23" s="170">
        <v>1</v>
      </c>
      <c r="W23" s="180"/>
      <c r="X23" s="33" t="s">
        <v>156</v>
      </c>
    </row>
    <row r="24" spans="1:24">
      <c r="H24" s="83"/>
      <c r="I24" s="126" t="s">
        <v>51</v>
      </c>
      <c r="J24" s="82" t="s">
        <v>134</v>
      </c>
      <c r="K24" s="12"/>
      <c r="L24" s="54">
        <v>0</v>
      </c>
      <c r="M24" s="162"/>
      <c r="N24" s="163">
        <f>+M24*3</f>
        <v>0</v>
      </c>
      <c r="O24" s="76">
        <v>34</v>
      </c>
      <c r="P24" s="75">
        <f t="shared" si="2"/>
        <v>150</v>
      </c>
      <c r="Q24" s="49"/>
      <c r="R24" s="11">
        <f t="shared" si="1"/>
        <v>150</v>
      </c>
      <c r="S24" s="106"/>
      <c r="T24" s="5"/>
      <c r="U24" s="179">
        <f>1+U23</f>
        <v>43481</v>
      </c>
      <c r="V24" s="170">
        <v>1</v>
      </c>
      <c r="W24" s="181"/>
      <c r="X24" s="33" t="s">
        <v>151</v>
      </c>
    </row>
    <row r="25" spans="1:24">
      <c r="H25" s="83"/>
      <c r="I25" s="126" t="s">
        <v>61</v>
      </c>
      <c r="J25" s="80" t="s">
        <v>137</v>
      </c>
      <c r="K25" s="8"/>
      <c r="L25" s="54">
        <v>0</v>
      </c>
      <c r="M25" s="162">
        <v>17</v>
      </c>
      <c r="N25" s="163">
        <f>3*M25:M25</f>
        <v>51</v>
      </c>
      <c r="O25" s="72"/>
      <c r="P25" s="75">
        <f t="shared" si="2"/>
        <v>0</v>
      </c>
      <c r="Q25" s="50"/>
      <c r="R25" s="11">
        <f t="shared" si="1"/>
        <v>51</v>
      </c>
      <c r="S25" s="106"/>
      <c r="T25" s="5"/>
      <c r="U25" s="179">
        <f>1+U24</f>
        <v>43482</v>
      </c>
      <c r="V25" s="170">
        <v>1</v>
      </c>
      <c r="W25" s="182"/>
      <c r="X25" s="33" t="s">
        <v>152</v>
      </c>
    </row>
    <row r="26" spans="1:24">
      <c r="H26" s="83"/>
      <c r="I26" s="25" t="s">
        <v>14</v>
      </c>
      <c r="J26" s="96" t="s">
        <v>125</v>
      </c>
      <c r="K26" s="29"/>
      <c r="L26" s="55">
        <v>0</v>
      </c>
      <c r="M26" s="164">
        <v>16</v>
      </c>
      <c r="N26" s="163">
        <f>+M26*3</f>
        <v>48</v>
      </c>
      <c r="O26" s="74"/>
      <c r="P26" s="75">
        <f t="shared" si="2"/>
        <v>0</v>
      </c>
      <c r="Q26" s="49"/>
      <c r="R26" s="11">
        <f t="shared" si="1"/>
        <v>48</v>
      </c>
      <c r="S26" s="107"/>
      <c r="T26" s="5"/>
      <c r="U26" s="179">
        <f>1+U25</f>
        <v>43483</v>
      </c>
      <c r="V26" s="170">
        <v>1</v>
      </c>
      <c r="W26" s="181"/>
      <c r="X26" s="33" t="s">
        <v>153</v>
      </c>
    </row>
    <row r="27" spans="1:24">
      <c r="H27" s="83"/>
      <c r="I27" s="126" t="s">
        <v>79</v>
      </c>
      <c r="J27" s="82" t="s">
        <v>110</v>
      </c>
      <c r="K27" s="8"/>
      <c r="L27" s="54">
        <f>+K27*3</f>
        <v>0</v>
      </c>
      <c r="M27" s="164">
        <v>15</v>
      </c>
      <c r="N27" s="163">
        <f>+M27*3</f>
        <v>45</v>
      </c>
      <c r="O27" s="76"/>
      <c r="P27" s="75">
        <f t="shared" si="2"/>
        <v>0</v>
      </c>
      <c r="Q27" s="50"/>
      <c r="R27" s="11">
        <f t="shared" si="1"/>
        <v>45</v>
      </c>
      <c r="S27" s="106"/>
      <c r="T27" s="5"/>
      <c r="U27" s="179">
        <f>1+U26</f>
        <v>43484</v>
      </c>
      <c r="V27" s="170">
        <v>0.5</v>
      </c>
      <c r="W27" s="183"/>
      <c r="X27" s="33" t="s">
        <v>154</v>
      </c>
    </row>
    <row r="28" spans="1:24">
      <c r="A28" s="4"/>
      <c r="B28" s="4"/>
      <c r="C28" s="4"/>
      <c r="D28" s="3"/>
      <c r="E28" s="4"/>
      <c r="F28" s="40"/>
      <c r="G28" s="4"/>
      <c r="H28" s="83"/>
      <c r="I28" s="25" t="s">
        <v>0</v>
      </c>
      <c r="J28" s="81" t="s">
        <v>108</v>
      </c>
      <c r="K28" s="29"/>
      <c r="L28" s="55">
        <f>+K28*5</f>
        <v>0</v>
      </c>
      <c r="M28" s="164"/>
      <c r="N28" s="163">
        <f>+M28*5</f>
        <v>0</v>
      </c>
      <c r="O28" s="74"/>
      <c r="P28" s="75">
        <v>0</v>
      </c>
      <c r="Q28" s="50"/>
      <c r="R28" s="9">
        <f t="shared" si="1"/>
        <v>0</v>
      </c>
      <c r="S28" s="107"/>
      <c r="T28" s="5"/>
      <c r="U28" s="184"/>
      <c r="V28" s="170">
        <f>SUM(V23:V27)</f>
        <v>4.5</v>
      </c>
      <c r="W28" s="183" t="s">
        <v>148</v>
      </c>
      <c r="X28" s="175" t="s">
        <v>155</v>
      </c>
    </row>
    <row r="29" spans="1:24">
      <c r="H29" s="83"/>
      <c r="I29" s="25" t="s">
        <v>45</v>
      </c>
      <c r="J29" s="81" t="s">
        <v>133</v>
      </c>
      <c r="K29" s="26"/>
      <c r="L29" s="55">
        <v>0</v>
      </c>
      <c r="M29" s="164"/>
      <c r="N29" s="163">
        <f>+M29*3</f>
        <v>0</v>
      </c>
      <c r="O29" s="74">
        <v>34</v>
      </c>
      <c r="P29" s="75">
        <f t="shared" ref="P29:P42" si="3">IF(O29&gt;25,150,(O29)*6)</f>
        <v>150</v>
      </c>
      <c r="Q29" s="49"/>
      <c r="R29" s="11">
        <f t="shared" si="1"/>
        <v>150</v>
      </c>
      <c r="S29" s="107"/>
      <c r="T29" s="5"/>
      <c r="U29" s="184"/>
      <c r="V29" s="171">
        <v>18</v>
      </c>
      <c r="W29" s="185" t="s">
        <v>149</v>
      </c>
      <c r="X29" s="61"/>
    </row>
    <row r="30" spans="1:24" ht="16.5">
      <c r="H30" s="143" t="s">
        <v>50</v>
      </c>
      <c r="I30" s="21" t="s">
        <v>13</v>
      </c>
      <c r="J30" s="20" t="s">
        <v>121</v>
      </c>
      <c r="K30" s="22"/>
      <c r="L30" s="56">
        <f>+K30*3</f>
        <v>0</v>
      </c>
      <c r="M30" s="160"/>
      <c r="N30" s="161">
        <v>0</v>
      </c>
      <c r="O30" s="23"/>
      <c r="P30" s="24">
        <f t="shared" si="3"/>
        <v>0</v>
      </c>
      <c r="Q30" s="51"/>
      <c r="R30" s="24">
        <f t="shared" si="1"/>
        <v>0</v>
      </c>
      <c r="S30" s="108"/>
      <c r="T30" s="5"/>
      <c r="U30" s="186" t="s">
        <v>160</v>
      </c>
      <c r="V30" s="172">
        <f>+V29/V28</f>
        <v>4</v>
      </c>
      <c r="W30" s="173" t="s">
        <v>150</v>
      </c>
      <c r="X30" s="61"/>
    </row>
    <row r="31" spans="1:24">
      <c r="H31" s="83"/>
      <c r="I31" s="25" t="s">
        <v>31</v>
      </c>
      <c r="J31" s="81" t="s">
        <v>127</v>
      </c>
      <c r="K31" s="29"/>
      <c r="L31" s="55">
        <f>+K31*3</f>
        <v>0</v>
      </c>
      <c r="M31" s="164"/>
      <c r="N31" s="163">
        <v>0</v>
      </c>
      <c r="O31" s="74">
        <v>36</v>
      </c>
      <c r="P31" s="75">
        <f t="shared" si="3"/>
        <v>150</v>
      </c>
      <c r="Q31" s="49"/>
      <c r="R31" s="11">
        <f t="shared" si="1"/>
        <v>150</v>
      </c>
      <c r="S31" s="107"/>
      <c r="T31" s="5"/>
      <c r="U31" s="58"/>
      <c r="V31" s="59"/>
      <c r="W31" s="60"/>
      <c r="X31" s="65"/>
    </row>
    <row r="32" spans="1:24" s="4" customFormat="1">
      <c r="A32"/>
      <c r="B32"/>
      <c r="C32"/>
      <c r="D32" s="1"/>
      <c r="E32"/>
      <c r="F32" s="2"/>
      <c r="G32"/>
      <c r="H32" s="83"/>
      <c r="I32" s="25" t="s">
        <v>30</v>
      </c>
      <c r="J32" s="81" t="s">
        <v>126</v>
      </c>
      <c r="K32" s="29"/>
      <c r="L32" s="55">
        <v>0</v>
      </c>
      <c r="M32" s="164"/>
      <c r="N32" s="163">
        <f>+M32*3</f>
        <v>0</v>
      </c>
      <c r="O32" s="28">
        <v>34</v>
      </c>
      <c r="P32" s="11">
        <f t="shared" si="3"/>
        <v>150</v>
      </c>
      <c r="Q32" s="49"/>
      <c r="R32" s="11">
        <f t="shared" si="1"/>
        <v>150</v>
      </c>
      <c r="S32" s="107"/>
      <c r="T32" s="5"/>
      <c r="U32" s="64"/>
      <c r="V32" s="59"/>
      <c r="W32" s="60"/>
      <c r="X32" s="68"/>
    </row>
    <row r="33" spans="8:24">
      <c r="H33" s="143" t="s">
        <v>50</v>
      </c>
      <c r="I33" s="21" t="s">
        <v>17</v>
      </c>
      <c r="J33" s="20" t="s">
        <v>123</v>
      </c>
      <c r="K33" s="22"/>
      <c r="L33" s="157">
        <f>+K33*3</f>
        <v>0</v>
      </c>
      <c r="M33" s="160"/>
      <c r="N33" s="161">
        <f>+M33*3</f>
        <v>0</v>
      </c>
      <c r="O33" s="23"/>
      <c r="P33" s="24">
        <f t="shared" si="3"/>
        <v>0</v>
      </c>
      <c r="Q33" s="51"/>
      <c r="R33" s="24">
        <f t="shared" si="1"/>
        <v>0</v>
      </c>
      <c r="S33" s="158"/>
      <c r="T33" s="5"/>
      <c r="U33" s="58"/>
      <c r="V33" s="66"/>
      <c r="W33" s="67"/>
      <c r="X33" s="69"/>
    </row>
    <row r="34" spans="8:24">
      <c r="H34" s="83"/>
      <c r="I34" s="25" t="s">
        <v>60</v>
      </c>
      <c r="J34" s="81" t="s">
        <v>132</v>
      </c>
      <c r="K34" s="26"/>
      <c r="L34" s="55"/>
      <c r="M34" s="164"/>
      <c r="N34" s="163">
        <v>0</v>
      </c>
      <c r="O34" s="74"/>
      <c r="P34" s="75">
        <f t="shared" si="3"/>
        <v>0</v>
      </c>
      <c r="Q34" s="49"/>
      <c r="R34" s="11">
        <f t="shared" si="1"/>
        <v>0</v>
      </c>
      <c r="S34" s="107"/>
      <c r="T34" s="5"/>
      <c r="U34" s="58"/>
      <c r="V34" s="59"/>
      <c r="W34" s="60"/>
      <c r="X34" s="65"/>
    </row>
    <row r="35" spans="8:24">
      <c r="H35" s="142"/>
      <c r="I35" s="25" t="s">
        <v>8</v>
      </c>
      <c r="J35" s="81" t="s">
        <v>120</v>
      </c>
      <c r="K35" s="29"/>
      <c r="L35" s="27"/>
      <c r="M35" s="164"/>
      <c r="N35" s="163">
        <f>+M35*3</f>
        <v>0</v>
      </c>
      <c r="O35" s="28">
        <v>37</v>
      </c>
      <c r="P35" s="75">
        <f t="shared" si="3"/>
        <v>150</v>
      </c>
      <c r="Q35" s="49"/>
      <c r="R35" s="57">
        <f t="shared" si="1"/>
        <v>150</v>
      </c>
      <c r="S35" s="107"/>
      <c r="T35" s="5"/>
      <c r="U35" s="58"/>
      <c r="V35" s="59"/>
      <c r="W35" s="60"/>
      <c r="X35" s="61"/>
    </row>
    <row r="36" spans="8:24">
      <c r="H36" s="83"/>
      <c r="I36" s="25" t="s">
        <v>11</v>
      </c>
      <c r="J36" s="96" t="s">
        <v>130</v>
      </c>
      <c r="K36" s="35"/>
      <c r="L36" s="55">
        <f>+K36*3</f>
        <v>0</v>
      </c>
      <c r="M36" s="164"/>
      <c r="N36" s="163">
        <f>+M36*3</f>
        <v>0</v>
      </c>
      <c r="O36" s="74">
        <v>31</v>
      </c>
      <c r="P36" s="75">
        <f t="shared" si="3"/>
        <v>150</v>
      </c>
      <c r="Q36" s="112"/>
      <c r="R36" s="11">
        <f t="shared" si="1"/>
        <v>150</v>
      </c>
      <c r="S36" s="107"/>
      <c r="T36" s="5"/>
      <c r="U36" s="58"/>
      <c r="V36" s="59"/>
      <c r="W36" s="62"/>
      <c r="X36" s="63"/>
    </row>
    <row r="37" spans="8:24">
      <c r="H37" s="83"/>
      <c r="I37" s="25" t="s">
        <v>48</v>
      </c>
      <c r="J37" s="81" t="s">
        <v>131</v>
      </c>
      <c r="K37" s="26"/>
      <c r="L37" s="55"/>
      <c r="M37" s="164"/>
      <c r="N37" s="163">
        <f>+M37*3</f>
        <v>0</v>
      </c>
      <c r="O37" s="74">
        <v>31</v>
      </c>
      <c r="P37" s="75">
        <f t="shared" si="3"/>
        <v>150</v>
      </c>
      <c r="Q37" s="49"/>
      <c r="R37" s="11">
        <f t="shared" si="1"/>
        <v>150</v>
      </c>
      <c r="S37" s="107"/>
      <c r="T37" s="5"/>
      <c r="U37" s="58"/>
      <c r="V37" s="66"/>
      <c r="W37" s="67"/>
      <c r="X37" s="66"/>
    </row>
    <row r="38" spans="8:24">
      <c r="H38" s="144"/>
      <c r="I38" s="25" t="s">
        <v>84</v>
      </c>
      <c r="J38" s="96" t="s">
        <v>142</v>
      </c>
      <c r="K38" s="145"/>
      <c r="L38" s="55">
        <v>0</v>
      </c>
      <c r="M38" s="164"/>
      <c r="N38" s="163">
        <v>0</v>
      </c>
      <c r="O38" s="28"/>
      <c r="P38" s="11">
        <f t="shared" si="3"/>
        <v>0</v>
      </c>
      <c r="Q38" s="112"/>
      <c r="R38" s="11">
        <f t="shared" si="1"/>
        <v>0</v>
      </c>
      <c r="S38" s="107"/>
      <c r="T38" s="5"/>
      <c r="U38" s="58"/>
      <c r="V38" s="66"/>
      <c r="W38" s="67"/>
      <c r="X38" s="66"/>
    </row>
    <row r="39" spans="8:24">
      <c r="H39" s="83"/>
      <c r="I39" s="25" t="s">
        <v>44</v>
      </c>
      <c r="J39" s="96" t="s">
        <v>124</v>
      </c>
      <c r="K39" s="29"/>
      <c r="L39" s="55">
        <v>0</v>
      </c>
      <c r="M39" s="164"/>
      <c r="N39" s="163">
        <f>+M39*3</f>
        <v>0</v>
      </c>
      <c r="O39" s="113"/>
      <c r="P39" s="75">
        <f t="shared" si="3"/>
        <v>0</v>
      </c>
      <c r="Q39" s="49"/>
      <c r="R39" s="11">
        <f t="shared" si="1"/>
        <v>0</v>
      </c>
      <c r="S39" s="107"/>
      <c r="T39" s="5"/>
      <c r="U39" s="58"/>
      <c r="V39" s="59"/>
      <c r="W39" s="60"/>
      <c r="X39" s="65"/>
    </row>
    <row r="40" spans="8:24">
      <c r="H40" s="81"/>
      <c r="I40" s="25" t="s">
        <v>6</v>
      </c>
      <c r="J40" s="81" t="s">
        <v>116</v>
      </c>
      <c r="K40" s="29"/>
      <c r="L40" s="27"/>
      <c r="M40" s="164"/>
      <c r="N40" s="163">
        <f>+M40*3</f>
        <v>0</v>
      </c>
      <c r="O40" s="28"/>
      <c r="P40" s="75">
        <f t="shared" si="3"/>
        <v>0</v>
      </c>
      <c r="Q40" s="49"/>
      <c r="R40" s="57">
        <f t="shared" si="1"/>
        <v>0</v>
      </c>
      <c r="S40" s="107"/>
      <c r="T40" s="5"/>
      <c r="U40" s="58"/>
      <c r="V40" s="59"/>
      <c r="W40" s="60"/>
      <c r="X40" s="65"/>
    </row>
    <row r="41" spans="8:24">
      <c r="H41" s="83"/>
      <c r="I41" s="126" t="s">
        <v>53</v>
      </c>
      <c r="J41" s="80" t="s">
        <v>135</v>
      </c>
      <c r="K41" s="8"/>
      <c r="L41" s="54">
        <v>0</v>
      </c>
      <c r="M41" s="162"/>
      <c r="N41" s="163">
        <v>0</v>
      </c>
      <c r="O41" s="76">
        <v>31</v>
      </c>
      <c r="P41" s="75">
        <f t="shared" si="3"/>
        <v>150</v>
      </c>
      <c r="Q41" s="50"/>
      <c r="R41" s="11">
        <f t="shared" si="1"/>
        <v>150</v>
      </c>
      <c r="S41" s="106"/>
      <c r="T41" s="5"/>
      <c r="U41" s="58"/>
      <c r="V41" s="59"/>
      <c r="W41" s="60"/>
      <c r="X41" s="61"/>
    </row>
    <row r="42" spans="8:24">
      <c r="H42" s="81"/>
      <c r="I42" s="120" t="s">
        <v>12</v>
      </c>
      <c r="J42" s="150" t="s">
        <v>114</v>
      </c>
      <c r="K42" s="151"/>
      <c r="L42" s="146">
        <f>+K42*3</f>
        <v>0</v>
      </c>
      <c r="M42" s="165">
        <v>17</v>
      </c>
      <c r="N42" s="166">
        <f>3*M42</f>
        <v>51</v>
      </c>
      <c r="O42" s="122"/>
      <c r="P42" s="147">
        <f t="shared" si="3"/>
        <v>0</v>
      </c>
      <c r="Q42" s="153"/>
      <c r="R42" s="124">
        <f t="shared" si="1"/>
        <v>51</v>
      </c>
      <c r="S42" s="148"/>
      <c r="T42" s="5"/>
      <c r="U42" s="58"/>
      <c r="V42" s="59"/>
      <c r="W42" s="60"/>
      <c r="X42" s="61"/>
    </row>
    <row r="43" spans="8:24">
      <c r="I43" s="13"/>
      <c r="J43" s="14"/>
      <c r="K43" s="17">
        <f t="shared" ref="K43:S43" si="4">SUM(K5:K42)</f>
        <v>0</v>
      </c>
      <c r="L43" s="18">
        <f t="shared" si="4"/>
        <v>0</v>
      </c>
      <c r="M43" s="167">
        <f t="shared" si="4"/>
        <v>123</v>
      </c>
      <c r="N43" s="168">
        <f t="shared" si="4"/>
        <v>340</v>
      </c>
      <c r="O43" s="77">
        <f t="shared" si="4"/>
        <v>668</v>
      </c>
      <c r="P43" s="78">
        <f t="shared" si="4"/>
        <v>2964</v>
      </c>
      <c r="Q43" s="16">
        <f t="shared" si="4"/>
        <v>0</v>
      </c>
      <c r="R43" s="78">
        <f t="shared" si="4"/>
        <v>3304</v>
      </c>
      <c r="S43" s="102">
        <f t="shared" si="4"/>
        <v>0</v>
      </c>
      <c r="T43" s="5"/>
      <c r="U43" s="58"/>
      <c r="V43" s="59"/>
      <c r="W43" s="60"/>
      <c r="X43" s="65"/>
    </row>
    <row r="44" spans="8:24">
      <c r="K44" s="41"/>
      <c r="M44" s="42"/>
      <c r="N44" s="41"/>
      <c r="O44" s="45" t="s">
        <v>81</v>
      </c>
      <c r="Q44" s="42"/>
      <c r="R44" s="45">
        <f>+R30+R15+R5+R33+R16</f>
        <v>150</v>
      </c>
      <c r="T44" s="5"/>
      <c r="U44" s="58"/>
      <c r="V44" s="59"/>
      <c r="W44" s="62"/>
      <c r="X44" s="60"/>
    </row>
    <row r="45" spans="8:24">
      <c r="L45" s="43"/>
      <c r="M45" s="44"/>
      <c r="N45" s="125"/>
      <c r="O45" s="43" t="s">
        <v>91</v>
      </c>
      <c r="P45" s="114"/>
      <c r="Q45" s="110" t="s">
        <v>58</v>
      </c>
      <c r="R45" s="111">
        <f>+R43-R44</f>
        <v>3154</v>
      </c>
      <c r="S45" s="109"/>
      <c r="T45" s="5"/>
      <c r="U45" s="58"/>
      <c r="V45" s="59"/>
      <c r="W45" s="62"/>
      <c r="X45" s="60"/>
    </row>
    <row r="46" spans="8:24">
      <c r="P46" s="19"/>
      <c r="U46" s="64"/>
      <c r="V46" s="59"/>
      <c r="W46" s="60"/>
      <c r="X46" s="68"/>
    </row>
    <row r="47" spans="8:24">
      <c r="I47" s="123" t="s">
        <v>86</v>
      </c>
      <c r="P47" s="19"/>
      <c r="U47" s="58"/>
      <c r="V47" s="66"/>
      <c r="W47" s="67"/>
      <c r="X47" s="69"/>
    </row>
    <row r="48" spans="8:24">
      <c r="I48" s="123" t="s">
        <v>87</v>
      </c>
      <c r="P48" s="19"/>
      <c r="U48" s="60"/>
      <c r="V48" s="59"/>
      <c r="W48" s="60"/>
      <c r="X48" s="60"/>
    </row>
    <row r="49" spans="9:24">
      <c r="I49" s="123" t="s">
        <v>88</v>
      </c>
      <c r="P49" s="19"/>
      <c r="U49" s="60"/>
      <c r="V49" s="59"/>
      <c r="W49" s="60"/>
      <c r="X49" s="60"/>
    </row>
    <row r="50" spans="9:24">
      <c r="I50" s="123" t="s">
        <v>89</v>
      </c>
      <c r="P50" s="19"/>
      <c r="U50" s="60"/>
      <c r="V50" s="59"/>
      <c r="W50" s="60"/>
      <c r="X50" s="60"/>
    </row>
    <row r="51" spans="9:24">
      <c r="I51" s="123" t="s">
        <v>90</v>
      </c>
      <c r="P51" s="19"/>
      <c r="U51" s="60"/>
      <c r="V51" s="59"/>
      <c r="W51" s="60"/>
      <c r="X51" s="60"/>
    </row>
    <row r="52" spans="9:24">
      <c r="U52" s="60"/>
      <c r="V52" s="59"/>
      <c r="W52" s="60"/>
      <c r="X52" s="60"/>
    </row>
    <row r="53" spans="9:24">
      <c r="P53" s="19"/>
      <c r="U53" s="60"/>
      <c r="V53" s="59"/>
      <c r="W53" s="60"/>
      <c r="X53" s="60"/>
    </row>
    <row r="54" spans="9:24">
      <c r="P54" s="19"/>
      <c r="U54" s="60"/>
      <c r="V54" s="59"/>
      <c r="W54" s="60"/>
      <c r="X54" s="60"/>
    </row>
    <row r="55" spans="9:24">
      <c r="P55" s="19"/>
      <c r="U55" s="60"/>
      <c r="V55" s="59"/>
      <c r="W55" s="60"/>
      <c r="X55" s="60"/>
    </row>
  </sheetData>
  <mergeCells count="4">
    <mergeCell ref="I2:R2"/>
    <mergeCell ref="K3:N3"/>
    <mergeCell ref="O3:P3"/>
    <mergeCell ref="T3:V3"/>
  </mergeCells>
  <conditionalFormatting sqref="R5">
    <cfRule type="cellIs" dxfId="14" priority="8" operator="lessThanOrEqual">
      <formula>0</formula>
    </cfRule>
  </conditionalFormatting>
  <conditionalFormatting sqref="R41:R42 R5:R39">
    <cfRule type="cellIs" dxfId="13" priority="7" operator="greaterThan">
      <formula>0</formula>
    </cfRule>
  </conditionalFormatting>
  <printOptions horizontalCentered="1"/>
  <pageMargins left="0" right="0" top="0.83" bottom="0" header="0" footer="0"/>
  <pageSetup paperSize="9" scale="85" orientation="portrait" r:id="rId1"/>
  <ignoredErrors>
    <ignoredError sqref="N19:N28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67"/>
  <sheetViews>
    <sheetView zoomScale="85" zoomScaleNormal="85" workbookViewId="0">
      <pane xSplit="10" ySplit="3" topLeftCell="K10" activePane="bottomRight" state="frozen"/>
      <selection pane="topRight" activeCell="K1" sqref="K1"/>
      <selection pane="bottomLeft" activeCell="A5" sqref="A5"/>
      <selection pane="bottomRight" activeCell="U34" sqref="U34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5.140625" customWidth="1"/>
    <col min="9" max="9" width="7.42578125" customWidth="1"/>
    <col min="10" max="10" width="28.140625" customWidth="1"/>
    <col min="11" max="11" width="1.7109375" customWidth="1"/>
    <col min="12" max="12" width="1.5703125" customWidth="1"/>
    <col min="13" max="13" width="5.7109375" customWidth="1"/>
    <col min="14" max="14" width="7.7109375" customWidth="1"/>
    <col min="15" max="15" width="6.85546875" customWidth="1"/>
    <col min="16" max="16" width="12.140625" customWidth="1"/>
    <col min="17" max="17" width="7.28515625" customWidth="1"/>
    <col min="18" max="18" width="15.7109375" customWidth="1"/>
    <col min="19" max="19" width="8.140625" style="103" bestFit="1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 ht="14.1" customHeight="1">
      <c r="H2" s="83"/>
      <c r="I2" s="429" t="s">
        <v>484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430">
        <f ca="1">+TODAY()</f>
        <v>43825</v>
      </c>
      <c r="U2" s="431"/>
      <c r="V2" s="431"/>
    </row>
    <row r="3" spans="8:29" ht="36.950000000000003" customHeight="1">
      <c r="H3" s="83" t="s">
        <v>143</v>
      </c>
      <c r="I3" s="268" t="s">
        <v>249</v>
      </c>
      <c r="J3" s="267" t="s">
        <v>248</v>
      </c>
      <c r="K3" s="225" t="s">
        <v>15</v>
      </c>
      <c r="L3" s="225" t="s">
        <v>208</v>
      </c>
      <c r="M3" s="378" t="s">
        <v>15</v>
      </c>
      <c r="N3" s="378" t="s">
        <v>478</v>
      </c>
      <c r="O3" s="87" t="s">
        <v>15</v>
      </c>
      <c r="P3" s="87" t="s">
        <v>485</v>
      </c>
      <c r="Q3" s="99" t="s">
        <v>486</v>
      </c>
      <c r="R3" s="88" t="s">
        <v>103</v>
      </c>
      <c r="S3" s="139" t="s">
        <v>104</v>
      </c>
      <c r="T3" s="89"/>
      <c r="U3" s="83"/>
      <c r="V3" s="83"/>
    </row>
    <row r="4" spans="8:29">
      <c r="H4" s="83"/>
      <c r="I4" s="126" t="s">
        <v>5</v>
      </c>
      <c r="J4" s="80" t="s">
        <v>117</v>
      </c>
      <c r="K4" s="226"/>
      <c r="L4" s="227">
        <f>+K4*3</f>
        <v>0</v>
      </c>
      <c r="M4" s="379"/>
      <c r="N4" s="380">
        <v>0</v>
      </c>
      <c r="O4" s="76">
        <v>22</v>
      </c>
      <c r="P4" s="75">
        <f t="shared" ref="P4:P42" si="0">IF(O4&gt;25,150,(O4)*6)</f>
        <v>132</v>
      </c>
      <c r="Q4" s="217"/>
      <c r="R4" s="11">
        <f t="shared" ref="R4:R42" si="1">+L4+N4+P4+Q4</f>
        <v>132</v>
      </c>
      <c r="S4" s="106">
        <v>50</v>
      </c>
      <c r="T4" s="5"/>
      <c r="U4" s="258">
        <v>815.2</v>
      </c>
      <c r="V4" s="259">
        <v>94</v>
      </c>
      <c r="W4" s="260">
        <v>721.2</v>
      </c>
      <c r="X4" s="333" t="s">
        <v>215</v>
      </c>
      <c r="Y4" s="266"/>
    </row>
    <row r="5" spans="8:29">
      <c r="H5" s="242" t="s">
        <v>250</v>
      </c>
      <c r="I5" s="188" t="s">
        <v>64</v>
      </c>
      <c r="J5" s="242" t="s">
        <v>138</v>
      </c>
      <c r="K5" s="192"/>
      <c r="L5" s="193">
        <f>+K5*3</f>
        <v>0</v>
      </c>
      <c r="M5" s="381"/>
      <c r="N5" s="382">
        <v>0</v>
      </c>
      <c r="O5" s="192">
        <v>30</v>
      </c>
      <c r="P5" s="193">
        <f t="shared" si="0"/>
        <v>150</v>
      </c>
      <c r="Q5" s="221"/>
      <c r="R5" s="193">
        <f t="shared" si="1"/>
        <v>150</v>
      </c>
      <c r="S5" s="197"/>
      <c r="T5" s="5"/>
      <c r="U5" s="326">
        <f>+V5+W5</f>
        <v>813.84359400998335</v>
      </c>
      <c r="V5" s="256">
        <f>+V4*W5/W4</f>
        <v>93.843594009983349</v>
      </c>
      <c r="W5" s="261">
        <v>720</v>
      </c>
      <c r="X5" s="334" t="s">
        <v>381</v>
      </c>
    </row>
    <row r="6" spans="8:29">
      <c r="H6" s="142"/>
      <c r="I6" s="269" t="s">
        <v>387</v>
      </c>
      <c r="J6" s="270" t="s">
        <v>388</v>
      </c>
      <c r="K6" s="271"/>
      <c r="L6" s="272">
        <v>0</v>
      </c>
      <c r="M6" s="383"/>
      <c r="N6" s="380">
        <v>0</v>
      </c>
      <c r="O6" s="271">
        <v>24</v>
      </c>
      <c r="P6" s="272">
        <f t="shared" si="0"/>
        <v>144</v>
      </c>
      <c r="Q6" s="273"/>
      <c r="R6" s="272">
        <f t="shared" si="1"/>
        <v>144</v>
      </c>
      <c r="S6" s="274"/>
      <c r="T6" s="5"/>
      <c r="U6" s="32">
        <f>+U4-U5+0.01</f>
        <v>1.3664059900166967</v>
      </c>
      <c r="V6" s="47"/>
      <c r="W6" s="33"/>
      <c r="X6" s="262" t="s">
        <v>59</v>
      </c>
    </row>
    <row r="7" spans="8:29">
      <c r="H7" s="242" t="s">
        <v>250</v>
      </c>
      <c r="I7" s="188" t="s">
        <v>2</v>
      </c>
      <c r="J7" s="242" t="s">
        <v>107</v>
      </c>
      <c r="K7" s="192"/>
      <c r="L7" s="193">
        <f>+K7*3</f>
        <v>0</v>
      </c>
      <c r="M7" s="381"/>
      <c r="N7" s="382">
        <f>+M7*3</f>
        <v>0</v>
      </c>
      <c r="O7" s="192">
        <v>31</v>
      </c>
      <c r="P7" s="193">
        <f t="shared" si="0"/>
        <v>150</v>
      </c>
      <c r="Q7" s="221"/>
      <c r="R7" s="193">
        <f t="shared" si="1"/>
        <v>150</v>
      </c>
      <c r="S7" s="197"/>
      <c r="T7" s="5"/>
      <c r="U7" s="34">
        <v>150</v>
      </c>
      <c r="V7" s="335">
        <f>+U7-U6</f>
        <v>148.63359400998331</v>
      </c>
      <c r="W7" s="39" t="s">
        <v>63</v>
      </c>
      <c r="X7" s="263">
        <f>150-V7</f>
        <v>1.3664059900166876</v>
      </c>
    </row>
    <row r="8" spans="8:29">
      <c r="H8" s="95"/>
      <c r="I8" s="25" t="s">
        <v>42</v>
      </c>
      <c r="J8" s="81" t="s">
        <v>119</v>
      </c>
      <c r="K8" s="228"/>
      <c r="L8" s="227">
        <f>+K8*3</f>
        <v>0</v>
      </c>
      <c r="M8" s="383"/>
      <c r="N8" s="380">
        <f>+M8*3</f>
        <v>0</v>
      </c>
      <c r="O8" s="28">
        <v>30</v>
      </c>
      <c r="P8" s="75">
        <f t="shared" si="0"/>
        <v>150</v>
      </c>
      <c r="Q8" s="374"/>
      <c r="R8" s="11">
        <f t="shared" si="1"/>
        <v>150</v>
      </c>
      <c r="S8" s="107">
        <v>50</v>
      </c>
      <c r="T8" s="5"/>
      <c r="X8" s="37"/>
    </row>
    <row r="9" spans="8:29" ht="15" customHeight="1">
      <c r="H9" s="251" t="s">
        <v>50</v>
      </c>
      <c r="I9" s="275" t="s">
        <v>1</v>
      </c>
      <c r="J9" s="276" t="s">
        <v>106</v>
      </c>
      <c r="K9" s="277"/>
      <c r="L9" s="278">
        <f>3*K9</f>
        <v>0</v>
      </c>
      <c r="M9" s="381"/>
      <c r="N9" s="382">
        <f>3*M9</f>
        <v>0</v>
      </c>
      <c r="O9" s="277"/>
      <c r="P9" s="278">
        <f t="shared" si="0"/>
        <v>0</v>
      </c>
      <c r="Q9" s="279"/>
      <c r="R9" s="278">
        <f t="shared" si="1"/>
        <v>0</v>
      </c>
      <c r="S9" s="280"/>
      <c r="T9" s="5"/>
      <c r="U9" s="258">
        <v>988</v>
      </c>
      <c r="V9" s="259">
        <v>118.76</v>
      </c>
      <c r="W9" s="260">
        <v>869.24</v>
      </c>
      <c r="X9" s="333" t="s">
        <v>349</v>
      </c>
      <c r="Y9" s="266"/>
    </row>
    <row r="10" spans="8:29">
      <c r="H10" s="95"/>
      <c r="I10" s="25" t="s">
        <v>56</v>
      </c>
      <c r="J10" s="81" t="s">
        <v>136</v>
      </c>
      <c r="K10" s="228"/>
      <c r="L10" s="227">
        <v>0</v>
      </c>
      <c r="M10" s="383"/>
      <c r="N10" s="380">
        <f>3*M10</f>
        <v>0</v>
      </c>
      <c r="O10" s="28"/>
      <c r="P10" s="75">
        <f t="shared" si="0"/>
        <v>0</v>
      </c>
      <c r="Q10" s="374"/>
      <c r="R10" s="11">
        <f t="shared" si="1"/>
        <v>0</v>
      </c>
      <c r="S10" s="107"/>
      <c r="T10" s="5"/>
      <c r="U10" s="326">
        <f>+V10+W10</f>
        <v>935.44245547834896</v>
      </c>
      <c r="V10" s="256">
        <f>+V9*W10/W9</f>
        <v>112.44245547834892</v>
      </c>
      <c r="W10" s="261">
        <v>823</v>
      </c>
      <c r="X10" s="334" t="s">
        <v>348</v>
      </c>
    </row>
    <row r="11" spans="8:29">
      <c r="H11" s="95"/>
      <c r="I11" s="25" t="s">
        <v>16</v>
      </c>
      <c r="J11" s="81" t="s">
        <v>113</v>
      </c>
      <c r="K11" s="228"/>
      <c r="L11" s="227">
        <v>0</v>
      </c>
      <c r="M11" s="383"/>
      <c r="N11" s="380">
        <f>3*M11</f>
        <v>0</v>
      </c>
      <c r="O11" s="28">
        <v>27</v>
      </c>
      <c r="P11" s="75">
        <f t="shared" si="0"/>
        <v>150</v>
      </c>
      <c r="Q11" s="374"/>
      <c r="R11" s="11">
        <f t="shared" si="1"/>
        <v>150</v>
      </c>
      <c r="S11" s="107">
        <v>50</v>
      </c>
      <c r="T11" s="5"/>
      <c r="U11" s="32">
        <f>+U9-U10</f>
        <v>52.557544521651039</v>
      </c>
      <c r="V11" s="47"/>
      <c r="W11" s="33"/>
      <c r="X11" s="262" t="s">
        <v>59</v>
      </c>
    </row>
    <row r="12" spans="8:29">
      <c r="H12" s="83"/>
      <c r="I12" s="25" t="s">
        <v>20</v>
      </c>
      <c r="J12" s="81" t="s">
        <v>195</v>
      </c>
      <c r="K12" s="228"/>
      <c r="L12" s="227">
        <f>+K12*3</f>
        <v>0</v>
      </c>
      <c r="M12" s="383"/>
      <c r="N12" s="380">
        <f>+M12*3</f>
        <v>0</v>
      </c>
      <c r="O12" s="74">
        <v>21</v>
      </c>
      <c r="P12" s="75">
        <f t="shared" si="0"/>
        <v>126</v>
      </c>
      <c r="Q12" s="217"/>
      <c r="R12" s="9">
        <f t="shared" si="1"/>
        <v>126</v>
      </c>
      <c r="S12" s="107">
        <v>50</v>
      </c>
      <c r="T12" s="5"/>
      <c r="U12" s="34">
        <v>150</v>
      </c>
      <c r="V12" s="38">
        <f>+U12-U11</f>
        <v>97.442455478348961</v>
      </c>
      <c r="W12" s="39" t="s">
        <v>63</v>
      </c>
      <c r="X12" s="263">
        <f>150-V12</f>
        <v>52.557544521651039</v>
      </c>
    </row>
    <row r="13" spans="8:29">
      <c r="H13" s="251" t="s">
        <v>50</v>
      </c>
      <c r="I13" s="275" t="s">
        <v>459</v>
      </c>
      <c r="J13" s="276" t="s">
        <v>460</v>
      </c>
      <c r="K13" s="277"/>
      <c r="L13" s="278">
        <v>0</v>
      </c>
      <c r="M13" s="381"/>
      <c r="N13" s="382">
        <v>0</v>
      </c>
      <c r="O13" s="277">
        <v>22</v>
      </c>
      <c r="P13" s="278">
        <f t="shared" si="0"/>
        <v>132</v>
      </c>
      <c r="Q13" s="374"/>
      <c r="R13" s="278">
        <f t="shared" si="1"/>
        <v>132</v>
      </c>
      <c r="S13" s="280"/>
      <c r="T13" s="5"/>
      <c r="U13" s="10"/>
      <c r="X13" s="37"/>
    </row>
    <row r="14" spans="8:29">
      <c r="H14" s="251" t="s">
        <v>50</v>
      </c>
      <c r="I14" s="275" t="s">
        <v>272</v>
      </c>
      <c r="J14" s="276" t="s">
        <v>271</v>
      </c>
      <c r="K14" s="277"/>
      <c r="L14" s="278">
        <v>0</v>
      </c>
      <c r="M14" s="381"/>
      <c r="N14" s="382">
        <v>0</v>
      </c>
      <c r="O14" s="277"/>
      <c r="P14" s="278">
        <f t="shared" si="0"/>
        <v>0</v>
      </c>
      <c r="Q14" s="279"/>
      <c r="R14" s="278">
        <f t="shared" si="1"/>
        <v>0</v>
      </c>
      <c r="S14" s="280"/>
      <c r="T14" s="5"/>
      <c r="U14" s="258">
        <v>880</v>
      </c>
      <c r="V14" s="259">
        <v>114.4</v>
      </c>
      <c r="W14" s="327">
        <v>765.6</v>
      </c>
      <c r="X14" s="100"/>
      <c r="Y14" s="266"/>
      <c r="Z14" s="311" t="s">
        <v>291</v>
      </c>
      <c r="AA14" s="177"/>
      <c r="AB14" s="178"/>
      <c r="AC14" s="432" t="s">
        <v>290</v>
      </c>
    </row>
    <row r="15" spans="8:29">
      <c r="H15" s="95"/>
      <c r="I15" s="25" t="s">
        <v>25</v>
      </c>
      <c r="J15" s="81" t="s">
        <v>118</v>
      </c>
      <c r="K15" s="228"/>
      <c r="L15" s="227">
        <f>+K15*3</f>
        <v>0</v>
      </c>
      <c r="M15" s="383"/>
      <c r="N15" s="380">
        <f>+M15*3</f>
        <v>0</v>
      </c>
      <c r="O15" s="28">
        <v>8</v>
      </c>
      <c r="P15" s="75">
        <f t="shared" si="0"/>
        <v>48</v>
      </c>
      <c r="Q15" s="218"/>
      <c r="R15" s="11">
        <f t="shared" si="1"/>
        <v>48</v>
      </c>
      <c r="S15" s="107"/>
      <c r="T15" s="5"/>
      <c r="U15" s="326">
        <f>+V15+W15</f>
        <v>945.97701149425291</v>
      </c>
      <c r="V15" s="256">
        <f>+V14*W15/W14</f>
        <v>122.97701149425289</v>
      </c>
      <c r="W15" s="261">
        <v>823</v>
      </c>
      <c r="X15" s="36" t="s">
        <v>350</v>
      </c>
      <c r="Z15" s="312" t="s">
        <v>292</v>
      </c>
      <c r="AA15" s="313" t="s">
        <v>293</v>
      </c>
      <c r="AB15" s="312" t="s">
        <v>277</v>
      </c>
      <c r="AC15" s="433"/>
    </row>
    <row r="16" spans="8:29">
      <c r="H16" s="95"/>
      <c r="I16" s="25" t="s">
        <v>41</v>
      </c>
      <c r="J16" s="81" t="s">
        <v>112</v>
      </c>
      <c r="K16" s="228"/>
      <c r="L16" s="227">
        <f>+K16*3</f>
        <v>0</v>
      </c>
      <c r="M16" s="383"/>
      <c r="N16" s="380">
        <f>+M16*3</f>
        <v>0</v>
      </c>
      <c r="O16" s="28">
        <v>2</v>
      </c>
      <c r="P16" s="75">
        <f t="shared" si="0"/>
        <v>12</v>
      </c>
      <c r="Q16" s="218"/>
      <c r="R16" s="11">
        <f t="shared" si="1"/>
        <v>12</v>
      </c>
      <c r="S16" s="107"/>
      <c r="T16" s="5"/>
      <c r="U16" s="32">
        <f>+U14-U15</f>
        <v>-65.977011494252906</v>
      </c>
      <c r="V16" s="47"/>
      <c r="W16" s="33"/>
      <c r="X16" s="262" t="s">
        <v>59</v>
      </c>
      <c r="Z16" s="282">
        <v>43673</v>
      </c>
      <c r="AA16" s="317">
        <v>1</v>
      </c>
      <c r="AB16" s="281">
        <v>3</v>
      </c>
      <c r="AC16" s="174" t="s">
        <v>157</v>
      </c>
    </row>
    <row r="17" spans="1:29">
      <c r="A17" s="215"/>
      <c r="H17" s="83"/>
      <c r="I17" s="126" t="s">
        <v>71</v>
      </c>
      <c r="J17" s="80" t="s">
        <v>139</v>
      </c>
      <c r="K17" s="226"/>
      <c r="L17" s="227">
        <f>5*K17</f>
        <v>0</v>
      </c>
      <c r="M17" s="379"/>
      <c r="N17" s="380">
        <f>5*M17</f>
        <v>0</v>
      </c>
      <c r="O17" s="76">
        <v>27</v>
      </c>
      <c r="P17" s="75">
        <f t="shared" si="0"/>
        <v>150</v>
      </c>
      <c r="Q17" s="217"/>
      <c r="R17" s="11">
        <f t="shared" si="1"/>
        <v>150</v>
      </c>
      <c r="S17" s="106">
        <v>40</v>
      </c>
      <c r="T17" s="5"/>
      <c r="U17" s="34">
        <v>150</v>
      </c>
      <c r="V17" s="38">
        <f>+U17-U16</f>
        <v>215.97701149425291</v>
      </c>
      <c r="W17" s="39" t="s">
        <v>63</v>
      </c>
      <c r="X17" s="263">
        <f>150-V17</f>
        <v>-65.977011494252906</v>
      </c>
      <c r="Z17" s="282">
        <f>1+Z16</f>
        <v>43674</v>
      </c>
      <c r="AA17" s="318">
        <v>1</v>
      </c>
      <c r="AB17" s="281">
        <v>5</v>
      </c>
      <c r="AC17" s="33" t="s">
        <v>156</v>
      </c>
    </row>
    <row r="18" spans="1:29">
      <c r="A18" s="215"/>
      <c r="H18" s="242" t="s">
        <v>250</v>
      </c>
      <c r="I18" s="188" t="s">
        <v>28</v>
      </c>
      <c r="J18" s="242" t="s">
        <v>122</v>
      </c>
      <c r="K18" s="192"/>
      <c r="L18" s="193">
        <f>+K18*3</f>
        <v>0</v>
      </c>
      <c r="M18" s="381"/>
      <c r="N18" s="382">
        <f>+M18*3</f>
        <v>0</v>
      </c>
      <c r="O18" s="192">
        <v>26</v>
      </c>
      <c r="P18" s="193">
        <f t="shared" si="0"/>
        <v>150</v>
      </c>
      <c r="Q18" s="221"/>
      <c r="R18" s="193">
        <f t="shared" si="1"/>
        <v>150</v>
      </c>
      <c r="S18" s="197"/>
      <c r="T18" s="5"/>
      <c r="U18" s="10"/>
      <c r="X18" s="37"/>
      <c r="Z18" s="282">
        <f t="shared" ref="Z18:Z26" si="2">1+Z17</f>
        <v>43675</v>
      </c>
      <c r="AA18" s="318">
        <v>1</v>
      </c>
      <c r="AB18" s="281">
        <v>5</v>
      </c>
      <c r="AC18" s="33" t="s">
        <v>151</v>
      </c>
    </row>
    <row r="19" spans="1:29">
      <c r="H19" s="141"/>
      <c r="I19" s="269" t="s">
        <v>270</v>
      </c>
      <c r="J19" s="270" t="s">
        <v>273</v>
      </c>
      <c r="K19" s="271"/>
      <c r="L19" s="272">
        <v>0</v>
      </c>
      <c r="M19" s="383"/>
      <c r="N19" s="380">
        <f>5*M19</f>
        <v>0</v>
      </c>
      <c r="O19" s="271"/>
      <c r="P19" s="272">
        <f t="shared" si="0"/>
        <v>0</v>
      </c>
      <c r="Q19" s="273"/>
      <c r="R19" s="272">
        <f t="shared" si="1"/>
        <v>0</v>
      </c>
      <c r="S19" s="274"/>
      <c r="T19" s="5"/>
      <c r="U19" s="258">
        <v>900</v>
      </c>
      <c r="V19" s="259">
        <f>+U19*0.13</f>
        <v>117</v>
      </c>
      <c r="W19" s="327">
        <f>+V19+U19</f>
        <v>1017</v>
      </c>
      <c r="X19" s="100"/>
      <c r="Y19" s="266"/>
      <c r="Z19" s="282">
        <f t="shared" si="2"/>
        <v>43676</v>
      </c>
      <c r="AA19" s="318">
        <v>1</v>
      </c>
      <c r="AB19" s="281">
        <v>2</v>
      </c>
      <c r="AC19" s="33" t="s">
        <v>152</v>
      </c>
    </row>
    <row r="20" spans="1:29">
      <c r="A20" s="215"/>
      <c r="H20" s="142"/>
      <c r="I20" s="25" t="s">
        <v>4</v>
      </c>
      <c r="J20" s="81" t="s">
        <v>111</v>
      </c>
      <c r="K20" s="228"/>
      <c r="L20" s="227">
        <v>0</v>
      </c>
      <c r="M20" s="383"/>
      <c r="N20" s="380">
        <f>+M20*3</f>
        <v>0</v>
      </c>
      <c r="O20" s="28">
        <v>6</v>
      </c>
      <c r="P20" s="75">
        <f t="shared" si="0"/>
        <v>36</v>
      </c>
      <c r="Q20" s="218"/>
      <c r="R20" s="11">
        <f t="shared" si="1"/>
        <v>36</v>
      </c>
      <c r="S20" s="107">
        <v>30</v>
      </c>
      <c r="T20" s="5"/>
      <c r="U20" s="326">
        <f>+V20+W20</f>
        <v>802.83185840707961</v>
      </c>
      <c r="V20" s="256">
        <f>+V19*W20/W19</f>
        <v>82.83185840707965</v>
      </c>
      <c r="W20" s="261">
        <v>720</v>
      </c>
      <c r="X20" s="36" t="s">
        <v>350</v>
      </c>
      <c r="Z20" s="282">
        <f t="shared" si="2"/>
        <v>43677</v>
      </c>
      <c r="AA20" s="318"/>
      <c r="AB20" s="281"/>
      <c r="AC20" s="33" t="s">
        <v>153</v>
      </c>
    </row>
    <row r="21" spans="1:29">
      <c r="A21" s="215"/>
      <c r="H21" s="142"/>
      <c r="I21" s="25" t="s">
        <v>9</v>
      </c>
      <c r="J21" s="81" t="s">
        <v>128</v>
      </c>
      <c r="K21" s="228"/>
      <c r="L21" s="227">
        <v>0</v>
      </c>
      <c r="M21" s="383"/>
      <c r="N21" s="380">
        <f>3*M21</f>
        <v>0</v>
      </c>
      <c r="O21" s="28">
        <v>22</v>
      </c>
      <c r="P21" s="75">
        <f t="shared" si="0"/>
        <v>132</v>
      </c>
      <c r="Q21" s="374"/>
      <c r="R21" s="11">
        <f t="shared" si="1"/>
        <v>132</v>
      </c>
      <c r="S21" s="107">
        <v>40</v>
      </c>
      <c r="T21" s="5"/>
      <c r="U21" s="32">
        <f>+U19-U20</f>
        <v>97.168141592920392</v>
      </c>
      <c r="V21" s="47"/>
      <c r="W21" s="33"/>
      <c r="X21" s="262" t="s">
        <v>59</v>
      </c>
      <c r="Z21" s="282">
        <f t="shared" si="2"/>
        <v>43678</v>
      </c>
      <c r="AA21" s="318"/>
      <c r="AB21" s="281"/>
      <c r="AC21" s="33" t="s">
        <v>154</v>
      </c>
    </row>
    <row r="22" spans="1:29">
      <c r="A22" s="215"/>
      <c r="H22" s="142"/>
      <c r="I22" s="25" t="s">
        <v>236</v>
      </c>
      <c r="J22" s="96" t="s">
        <v>235</v>
      </c>
      <c r="K22" s="29"/>
      <c r="L22" s="27">
        <v>0</v>
      </c>
      <c r="M22" s="383"/>
      <c r="N22" s="380">
        <v>0</v>
      </c>
      <c r="O22" s="28"/>
      <c r="P22" s="11">
        <f t="shared" si="0"/>
        <v>0</v>
      </c>
      <c r="Q22" s="374"/>
      <c r="R22" s="11">
        <f t="shared" si="1"/>
        <v>0</v>
      </c>
      <c r="S22" s="241"/>
      <c r="T22" s="5"/>
      <c r="U22" s="34">
        <v>150</v>
      </c>
      <c r="V22" s="38">
        <f>+U22-U21</f>
        <v>52.831858407079608</v>
      </c>
      <c r="W22" s="39" t="s">
        <v>63</v>
      </c>
      <c r="X22" s="263">
        <f>150-V22</f>
        <v>97.168141592920392</v>
      </c>
      <c r="Z22" s="282">
        <f t="shared" si="2"/>
        <v>43679</v>
      </c>
      <c r="AA22" s="318"/>
      <c r="AB22" s="281"/>
      <c r="AC22" s="175" t="s">
        <v>155</v>
      </c>
    </row>
    <row r="23" spans="1:29">
      <c r="H23" s="142"/>
      <c r="I23" s="269" t="s">
        <v>328</v>
      </c>
      <c r="J23" s="270" t="s">
        <v>329</v>
      </c>
      <c r="K23" s="271"/>
      <c r="L23" s="272">
        <v>0</v>
      </c>
      <c r="M23" s="383"/>
      <c r="N23" s="380">
        <v>0</v>
      </c>
      <c r="O23" s="271">
        <v>26</v>
      </c>
      <c r="P23" s="272">
        <f t="shared" si="0"/>
        <v>150</v>
      </c>
      <c r="Q23" s="273"/>
      <c r="R23" s="272">
        <f t="shared" si="1"/>
        <v>150</v>
      </c>
      <c r="S23" s="274"/>
      <c r="T23" s="5"/>
      <c r="U23" s="10"/>
      <c r="X23" s="37"/>
      <c r="Z23" s="282">
        <f t="shared" si="2"/>
        <v>43680</v>
      </c>
      <c r="AA23" s="318"/>
      <c r="AB23" s="281"/>
      <c r="AC23" s="61"/>
    </row>
    <row r="24" spans="1:29">
      <c r="A24" s="237"/>
      <c r="B24" s="237"/>
      <c r="C24" s="237"/>
      <c r="D24" s="238"/>
      <c r="E24" s="237"/>
      <c r="F24" s="239"/>
      <c r="G24" s="237"/>
      <c r="H24" s="142"/>
      <c r="I24" s="25" t="s">
        <v>51</v>
      </c>
      <c r="J24" s="96" t="s">
        <v>134</v>
      </c>
      <c r="K24" s="29"/>
      <c r="L24" s="27">
        <f>+K24*3</f>
        <v>0</v>
      </c>
      <c r="M24" s="383"/>
      <c r="N24" s="380">
        <f>+M24*3</f>
        <v>0</v>
      </c>
      <c r="O24" s="28">
        <v>25</v>
      </c>
      <c r="P24" s="11">
        <f t="shared" si="0"/>
        <v>150</v>
      </c>
      <c r="Q24" s="218"/>
      <c r="R24" s="240">
        <f t="shared" si="1"/>
        <v>150</v>
      </c>
      <c r="S24" s="241">
        <v>50</v>
      </c>
      <c r="T24" s="5"/>
      <c r="Z24" s="282">
        <f t="shared" si="2"/>
        <v>43681</v>
      </c>
      <c r="AA24" s="318"/>
      <c r="AB24" s="281"/>
      <c r="AC24" s="61"/>
    </row>
    <row r="25" spans="1:29">
      <c r="A25" s="215"/>
      <c r="H25" s="142"/>
      <c r="I25" s="25" t="s">
        <v>61</v>
      </c>
      <c r="J25" s="96" t="s">
        <v>137</v>
      </c>
      <c r="K25" s="28"/>
      <c r="L25" s="11">
        <f>3*K25</f>
        <v>0</v>
      </c>
      <c r="M25" s="383"/>
      <c r="N25" s="380">
        <f>5*M25</f>
        <v>0</v>
      </c>
      <c r="O25" s="28"/>
      <c r="P25" s="11">
        <f t="shared" si="0"/>
        <v>0</v>
      </c>
      <c r="Q25" s="374"/>
      <c r="R25" s="361">
        <f t="shared" si="1"/>
        <v>0</v>
      </c>
      <c r="S25" s="241"/>
      <c r="T25" s="5"/>
      <c r="U25" s="332" t="s">
        <v>382</v>
      </c>
      <c r="Z25" s="282">
        <f t="shared" si="2"/>
        <v>43682</v>
      </c>
      <c r="AA25" s="318"/>
      <c r="AB25" s="281"/>
      <c r="AC25" s="65"/>
    </row>
    <row r="26" spans="1:29">
      <c r="A26" s="215"/>
      <c r="H26" s="95"/>
      <c r="I26" s="25" t="s">
        <v>14</v>
      </c>
      <c r="J26" s="81" t="s">
        <v>125</v>
      </c>
      <c r="K26" s="228"/>
      <c r="L26" s="227">
        <f>+K26*3</f>
        <v>0</v>
      </c>
      <c r="M26" s="383"/>
      <c r="N26" s="380">
        <f>3*M26</f>
        <v>0</v>
      </c>
      <c r="O26" s="28">
        <v>1</v>
      </c>
      <c r="P26" s="75">
        <f t="shared" si="0"/>
        <v>6</v>
      </c>
      <c r="Q26" s="374"/>
      <c r="R26" s="11">
        <f t="shared" si="1"/>
        <v>6</v>
      </c>
      <c r="S26" s="107">
        <v>25</v>
      </c>
      <c r="T26" s="5"/>
      <c r="Z26" s="282">
        <f t="shared" si="2"/>
        <v>43683</v>
      </c>
      <c r="AA26" s="319"/>
      <c r="AB26" s="281"/>
      <c r="AC26" s="66"/>
    </row>
    <row r="27" spans="1:29">
      <c r="A27" s="215"/>
      <c r="H27" s="242" t="s">
        <v>250</v>
      </c>
      <c r="I27" s="188" t="s">
        <v>79</v>
      </c>
      <c r="J27" s="242" t="s">
        <v>110</v>
      </c>
      <c r="K27" s="192"/>
      <c r="L27" s="193">
        <v>0</v>
      </c>
      <c r="M27" s="381"/>
      <c r="N27" s="382">
        <v>0</v>
      </c>
      <c r="O27" s="192"/>
      <c r="P27" s="193">
        <f t="shared" si="0"/>
        <v>0</v>
      </c>
      <c r="Q27" s="221"/>
      <c r="R27" s="193">
        <f t="shared" si="1"/>
        <v>0</v>
      </c>
      <c r="S27" s="197"/>
      <c r="T27" s="5"/>
      <c r="U27" s="287" t="s">
        <v>347</v>
      </c>
      <c r="Z27" s="314" t="s">
        <v>150</v>
      </c>
      <c r="AA27" s="315">
        <f>SUM(AA16:AA26)</f>
        <v>4</v>
      </c>
      <c r="AB27" s="316" t="s">
        <v>148</v>
      </c>
      <c r="AC27" s="68"/>
    </row>
    <row r="28" spans="1:29">
      <c r="H28" s="83"/>
      <c r="I28" s="269" t="s">
        <v>214</v>
      </c>
      <c r="J28" s="270" t="s">
        <v>215</v>
      </c>
      <c r="K28" s="271"/>
      <c r="L28" s="272">
        <v>0</v>
      </c>
      <c r="M28" s="383"/>
      <c r="N28" s="380">
        <f>3*M28</f>
        <v>0</v>
      </c>
      <c r="O28" s="271"/>
      <c r="P28" s="272">
        <f t="shared" si="0"/>
        <v>0</v>
      </c>
      <c r="Q28" s="374"/>
      <c r="R28" s="272">
        <f t="shared" si="1"/>
        <v>0</v>
      </c>
      <c r="S28" s="274"/>
      <c r="T28" s="5"/>
      <c r="Z28" s="184"/>
      <c r="AA28" s="171">
        <f>SUM(AB16:AB26)</f>
        <v>15</v>
      </c>
      <c r="AB28" s="185" t="s">
        <v>149</v>
      </c>
      <c r="AC28" s="69"/>
    </row>
    <row r="29" spans="1:29" ht="16.5">
      <c r="A29" s="237"/>
      <c r="B29" s="237"/>
      <c r="C29" s="237"/>
      <c r="D29" s="238"/>
      <c r="E29" s="237"/>
      <c r="F29" s="239"/>
      <c r="G29" s="237"/>
      <c r="H29" s="142"/>
      <c r="I29" s="25" t="s">
        <v>45</v>
      </c>
      <c r="J29" s="96" t="s">
        <v>133</v>
      </c>
      <c r="K29" s="29"/>
      <c r="L29" s="27">
        <f>+K29*3</f>
        <v>0</v>
      </c>
      <c r="M29" s="383"/>
      <c r="N29" s="380">
        <f>+M29*3</f>
        <v>0</v>
      </c>
      <c r="O29" s="28"/>
      <c r="P29" s="11">
        <f>IF(O29&gt;25,150,(O29)*6)</f>
        <v>0</v>
      </c>
      <c r="Q29" s="218"/>
      <c r="R29" s="240">
        <f t="shared" si="1"/>
        <v>0</v>
      </c>
      <c r="S29" s="241"/>
      <c r="T29" s="5"/>
      <c r="Z29" s="186" t="s">
        <v>160</v>
      </c>
      <c r="AA29" s="284">
        <f>+AA28/AA27</f>
        <v>3.75</v>
      </c>
      <c r="AB29" s="173" t="s">
        <v>150</v>
      </c>
      <c r="AC29" s="65"/>
    </row>
    <row r="30" spans="1:29">
      <c r="A30" s="215"/>
      <c r="H30" s="142"/>
      <c r="I30" s="25" t="s">
        <v>13</v>
      </c>
      <c r="J30" s="81" t="s">
        <v>319</v>
      </c>
      <c r="K30" s="228"/>
      <c r="L30" s="227">
        <f>3*K30</f>
        <v>0</v>
      </c>
      <c r="M30" s="383"/>
      <c r="N30" s="380">
        <f>3*M30</f>
        <v>0</v>
      </c>
      <c r="O30" s="28">
        <v>20</v>
      </c>
      <c r="P30" s="75">
        <f t="shared" si="0"/>
        <v>120</v>
      </c>
      <c r="Q30" s="374"/>
      <c r="R30" s="240">
        <f t="shared" si="1"/>
        <v>120</v>
      </c>
      <c r="S30" s="107"/>
      <c r="T30" s="5"/>
    </row>
    <row r="31" spans="1:29">
      <c r="A31" s="215"/>
      <c r="H31" s="95"/>
      <c r="I31" s="25" t="s">
        <v>31</v>
      </c>
      <c r="J31" s="81" t="s">
        <v>127</v>
      </c>
      <c r="K31" s="228"/>
      <c r="L31" s="227">
        <v>0</v>
      </c>
      <c r="M31" s="383"/>
      <c r="N31" s="380">
        <v>0</v>
      </c>
      <c r="O31" s="28">
        <v>16</v>
      </c>
      <c r="P31" s="75">
        <f t="shared" si="0"/>
        <v>96</v>
      </c>
      <c r="Q31" s="374"/>
      <c r="R31" s="11">
        <f t="shared" si="1"/>
        <v>96</v>
      </c>
      <c r="S31" s="107">
        <v>50</v>
      </c>
      <c r="T31" s="5"/>
    </row>
    <row r="32" spans="1:29">
      <c r="A32" s="215"/>
      <c r="H32" s="95"/>
      <c r="I32" s="25" t="s">
        <v>30</v>
      </c>
      <c r="J32" s="81" t="s">
        <v>126</v>
      </c>
      <c r="K32" s="228"/>
      <c r="L32" s="227">
        <f>+K32*3</f>
        <v>0</v>
      </c>
      <c r="M32" s="383"/>
      <c r="N32" s="380">
        <f>+M32*3</f>
        <v>0</v>
      </c>
      <c r="O32" s="28">
        <v>25</v>
      </c>
      <c r="P32" s="75">
        <f t="shared" si="0"/>
        <v>150</v>
      </c>
      <c r="Q32" s="218"/>
      <c r="R32" s="320">
        <f t="shared" si="1"/>
        <v>150</v>
      </c>
      <c r="S32" s="107">
        <v>60</v>
      </c>
      <c r="T32" s="5"/>
    </row>
    <row r="33" spans="1:32" s="4" customFormat="1">
      <c r="A33" s="215"/>
      <c r="B33"/>
      <c r="C33"/>
      <c r="D33" s="1"/>
      <c r="E33"/>
      <c r="F33" s="2"/>
      <c r="G33"/>
      <c r="H33" s="83"/>
      <c r="I33" s="269" t="s">
        <v>186</v>
      </c>
      <c r="J33" s="270" t="s">
        <v>187</v>
      </c>
      <c r="K33" s="271"/>
      <c r="L33" s="272">
        <v>0</v>
      </c>
      <c r="M33" s="383"/>
      <c r="N33" s="380">
        <v>0</v>
      </c>
      <c r="O33" s="271"/>
      <c r="P33" s="272">
        <f t="shared" si="0"/>
        <v>0</v>
      </c>
      <c r="Q33" s="273"/>
      <c r="R33" s="272">
        <f t="shared" si="1"/>
        <v>0</v>
      </c>
      <c r="S33" s="274"/>
      <c r="T33" s="5"/>
      <c r="U33"/>
      <c r="V33" s="46"/>
      <c r="W33"/>
      <c r="X33"/>
      <c r="Y33"/>
      <c r="Z33"/>
      <c r="AA33"/>
      <c r="AB33"/>
      <c r="AC33"/>
      <c r="AD33"/>
      <c r="AE33"/>
      <c r="AF33"/>
    </row>
    <row r="34" spans="1:32">
      <c r="A34" s="215"/>
      <c r="H34" s="83"/>
      <c r="I34" s="25" t="s">
        <v>17</v>
      </c>
      <c r="J34" s="81" t="s">
        <v>123</v>
      </c>
      <c r="K34" s="228"/>
      <c r="L34" s="227">
        <f>+K34*3</f>
        <v>0</v>
      </c>
      <c r="M34" s="383"/>
      <c r="N34" s="380">
        <v>0</v>
      </c>
      <c r="O34" s="74">
        <v>1</v>
      </c>
      <c r="P34" s="75">
        <f>IF(O34&gt;25,150,(O34)*6)</f>
        <v>6</v>
      </c>
      <c r="Q34" s="218"/>
      <c r="R34" s="11">
        <f t="shared" si="1"/>
        <v>6</v>
      </c>
      <c r="S34" s="107"/>
      <c r="T34" s="5"/>
    </row>
    <row r="35" spans="1:32">
      <c r="A35" s="215"/>
      <c r="H35" s="83"/>
      <c r="I35" s="25" t="s">
        <v>60</v>
      </c>
      <c r="J35" s="81" t="s">
        <v>132</v>
      </c>
      <c r="K35" s="228"/>
      <c r="L35" s="227">
        <v>0</v>
      </c>
      <c r="M35" s="383"/>
      <c r="N35" s="380">
        <v>0</v>
      </c>
      <c r="O35" s="74"/>
      <c r="P35" s="75">
        <f>IF(O35&gt;25,150,(O35)*6)</f>
        <v>0</v>
      </c>
      <c r="Q35" s="218"/>
      <c r="R35" s="11">
        <f>+L35+N35+P35+Q35</f>
        <v>0</v>
      </c>
      <c r="S35" s="107"/>
      <c r="T35" s="5"/>
    </row>
    <row r="36" spans="1:32">
      <c r="H36" s="142"/>
      <c r="I36" s="25" t="s">
        <v>233</v>
      </c>
      <c r="J36" s="81" t="s">
        <v>234</v>
      </c>
      <c r="K36" s="228"/>
      <c r="L36" s="227">
        <v>0</v>
      </c>
      <c r="M36" s="383"/>
      <c r="N36" s="380">
        <f>3*M36</f>
        <v>0</v>
      </c>
      <c r="O36" s="28"/>
      <c r="P36" s="75">
        <f t="shared" si="0"/>
        <v>0</v>
      </c>
      <c r="Q36" s="374"/>
      <c r="R36" s="11">
        <f>+L36+N36+P36+Q36</f>
        <v>0</v>
      </c>
      <c r="S36" s="107"/>
      <c r="T36" s="5"/>
    </row>
    <row r="37" spans="1:32">
      <c r="H37" s="251" t="s">
        <v>50</v>
      </c>
      <c r="I37" s="275" t="s">
        <v>469</v>
      </c>
      <c r="J37" s="276" t="s">
        <v>470</v>
      </c>
      <c r="K37" s="277"/>
      <c r="L37" s="278">
        <v>0</v>
      </c>
      <c r="M37" s="381"/>
      <c r="N37" s="382">
        <v>0</v>
      </c>
      <c r="O37" s="277">
        <v>21</v>
      </c>
      <c r="P37" s="278">
        <f t="shared" si="0"/>
        <v>126</v>
      </c>
      <c r="Q37" s="279"/>
      <c r="R37" s="278">
        <f t="shared" si="1"/>
        <v>126</v>
      </c>
      <c r="S37" s="280"/>
      <c r="T37" s="5"/>
    </row>
    <row r="38" spans="1:32">
      <c r="A38" s="215"/>
      <c r="H38" s="95"/>
      <c r="I38" s="25" t="s">
        <v>8</v>
      </c>
      <c r="J38" s="81" t="s">
        <v>120</v>
      </c>
      <c r="K38" s="228"/>
      <c r="L38" s="227">
        <v>0</v>
      </c>
      <c r="M38" s="383"/>
      <c r="N38" s="380">
        <v>0</v>
      </c>
      <c r="O38" s="28">
        <v>25</v>
      </c>
      <c r="P38" s="75">
        <f t="shared" si="0"/>
        <v>150</v>
      </c>
      <c r="Q38" s="218"/>
      <c r="R38" s="11">
        <f t="shared" si="1"/>
        <v>150</v>
      </c>
      <c r="S38" s="107">
        <v>60</v>
      </c>
      <c r="T38" s="5"/>
      <c r="AF38" s="4"/>
    </row>
    <row r="39" spans="1:32">
      <c r="A39" s="215"/>
      <c r="H39" s="95"/>
      <c r="I39" s="25" t="s">
        <v>11</v>
      </c>
      <c r="J39" s="81" t="s">
        <v>130</v>
      </c>
      <c r="K39" s="228"/>
      <c r="L39" s="227">
        <f>+K39*3</f>
        <v>0</v>
      </c>
      <c r="M39" s="383"/>
      <c r="N39" s="380">
        <v>0</v>
      </c>
      <c r="O39" s="28">
        <v>28</v>
      </c>
      <c r="P39" s="75">
        <f t="shared" si="0"/>
        <v>150</v>
      </c>
      <c r="Q39" s="374"/>
      <c r="R39" s="11">
        <f t="shared" si="1"/>
        <v>150</v>
      </c>
      <c r="S39" s="107">
        <v>60</v>
      </c>
      <c r="T39" s="5"/>
    </row>
    <row r="40" spans="1:32" ht="15.75">
      <c r="H40" s="83"/>
      <c r="I40" s="25" t="s">
        <v>6</v>
      </c>
      <c r="J40" s="96" t="s">
        <v>116</v>
      </c>
      <c r="K40" s="228"/>
      <c r="L40" s="227">
        <f>+K40*3</f>
        <v>0</v>
      </c>
      <c r="M40" s="383"/>
      <c r="N40" s="380">
        <f>+M40*3</f>
        <v>0</v>
      </c>
      <c r="O40" s="74">
        <v>22</v>
      </c>
      <c r="P40" s="75">
        <f t="shared" si="0"/>
        <v>132</v>
      </c>
      <c r="Q40" s="220"/>
      <c r="R40" s="11">
        <f t="shared" si="1"/>
        <v>132</v>
      </c>
      <c r="S40" s="107"/>
      <c r="T40" s="5"/>
      <c r="V40" s="375">
        <v>12</v>
      </c>
      <c r="W40" s="376">
        <f>+V40/7*6</f>
        <v>10.285714285714285</v>
      </c>
    </row>
    <row r="41" spans="1:32" ht="15.75">
      <c r="H41" s="95"/>
      <c r="I41" s="25" t="s">
        <v>53</v>
      </c>
      <c r="J41" s="81" t="s">
        <v>135</v>
      </c>
      <c r="K41" s="228"/>
      <c r="L41" s="227">
        <v>0</v>
      </c>
      <c r="M41" s="383"/>
      <c r="N41" s="380">
        <v>0</v>
      </c>
      <c r="O41" s="28"/>
      <c r="P41" s="75">
        <f t="shared" si="0"/>
        <v>0</v>
      </c>
      <c r="Q41" s="218"/>
      <c r="R41" s="11">
        <f t="shared" si="1"/>
        <v>0</v>
      </c>
      <c r="S41" s="107"/>
      <c r="T41" s="5"/>
      <c r="V41" s="375">
        <v>20</v>
      </c>
      <c r="W41" s="376">
        <f>+V41/7*6</f>
        <v>17.142857142857142</v>
      </c>
    </row>
    <row r="42" spans="1:32" ht="15.75">
      <c r="H42" s="81"/>
      <c r="I42" s="120" t="s">
        <v>12</v>
      </c>
      <c r="J42" s="121" t="s">
        <v>114</v>
      </c>
      <c r="K42" s="122"/>
      <c r="L42" s="15">
        <v>0</v>
      </c>
      <c r="M42" s="384"/>
      <c r="N42" s="385">
        <f>3*M42</f>
        <v>0</v>
      </c>
      <c r="O42" s="122"/>
      <c r="P42" s="15">
        <f t="shared" si="0"/>
        <v>0</v>
      </c>
      <c r="Q42" s="222"/>
      <c r="R42" s="362">
        <f t="shared" si="1"/>
        <v>0</v>
      </c>
      <c r="S42" s="363"/>
      <c r="T42" s="5"/>
      <c r="V42" s="375">
        <v>8</v>
      </c>
      <c r="W42" s="377">
        <f>+W41-W40</f>
        <v>6.8571428571428577</v>
      </c>
    </row>
    <row r="43" spans="1:32">
      <c r="I43" s="13"/>
      <c r="J43" s="14"/>
      <c r="K43" s="234">
        <f t="shared" ref="K43:S43" si="3">SUM(K4:K42)</f>
        <v>0</v>
      </c>
      <c r="L43" s="235">
        <f t="shared" si="3"/>
        <v>0</v>
      </c>
      <c r="M43" s="386">
        <f t="shared" si="3"/>
        <v>0</v>
      </c>
      <c r="N43" s="387">
        <f t="shared" si="3"/>
        <v>0</v>
      </c>
      <c r="O43" s="77">
        <f t="shared" si="3"/>
        <v>508</v>
      </c>
      <c r="P43" s="78">
        <f t="shared" si="3"/>
        <v>2898</v>
      </c>
      <c r="Q43" s="323">
        <f t="shared" si="3"/>
        <v>0</v>
      </c>
      <c r="R43" s="78">
        <f t="shared" si="3"/>
        <v>2898</v>
      </c>
      <c r="S43" s="102">
        <f t="shared" si="3"/>
        <v>615</v>
      </c>
      <c r="T43" s="5"/>
    </row>
    <row r="44" spans="1:32">
      <c r="J44" s="200">
        <f ca="1">TODAY()</f>
        <v>43825</v>
      </c>
      <c r="K44" s="41"/>
      <c r="M44" s="42"/>
      <c r="N44" s="41"/>
      <c r="O44" s="45" t="s">
        <v>81</v>
      </c>
      <c r="Q44" s="42"/>
      <c r="R44" s="45">
        <f>+R5+R7+R9+R13+R14+R18+R27+R37</f>
        <v>708</v>
      </c>
      <c r="T44" s="5"/>
    </row>
    <row r="45" spans="1:32">
      <c r="L45" s="43"/>
      <c r="M45" s="44"/>
      <c r="N45" s="125"/>
      <c r="O45" s="43" t="s">
        <v>91</v>
      </c>
      <c r="P45" s="114">
        <v>2622</v>
      </c>
      <c r="Q45" s="110" t="s">
        <v>58</v>
      </c>
      <c r="R45" s="111">
        <f>+R43-R44</f>
        <v>2190</v>
      </c>
      <c r="S45" s="109"/>
      <c r="T45" s="5"/>
    </row>
    <row r="46" spans="1:32">
      <c r="P46" s="19"/>
      <c r="T46" s="5"/>
      <c r="AC46">
        <v>4</v>
      </c>
    </row>
    <row r="47" spans="1:32" ht="15" customHeight="1">
      <c r="I47" s="330" t="s">
        <v>487</v>
      </c>
      <c r="P47" s="1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I48" s="331" t="s">
        <v>488</v>
      </c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30" t="s">
        <v>489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30" t="s">
        <v>490</v>
      </c>
      <c r="P50" s="19"/>
      <c r="T50" s="5"/>
    </row>
    <row r="51" spans="9:29">
      <c r="I51" s="330" t="s">
        <v>491</v>
      </c>
      <c r="P51" s="19"/>
    </row>
    <row r="52" spans="9:29">
      <c r="I52" s="330" t="s">
        <v>492</v>
      </c>
      <c r="P52" s="19"/>
      <c r="V52" s="59"/>
      <c r="W52" s="60"/>
      <c r="X52" s="61"/>
    </row>
    <row r="53" spans="9:29">
      <c r="I53" s="330" t="s">
        <v>493</v>
      </c>
      <c r="U53" s="58"/>
      <c r="V53" s="59"/>
      <c r="W53" s="60"/>
      <c r="X53" s="61"/>
    </row>
    <row r="54" spans="9:29">
      <c r="I54" s="330" t="s">
        <v>494</v>
      </c>
      <c r="U54" s="58"/>
      <c r="V54" s="59"/>
      <c r="W54" s="60"/>
      <c r="X54" s="61"/>
    </row>
    <row r="55" spans="9:29">
      <c r="I55" s="330" t="s">
        <v>495</v>
      </c>
      <c r="U55" s="58"/>
      <c r="V55" s="59"/>
      <c r="W55" s="60"/>
      <c r="X55" s="69"/>
    </row>
    <row r="56" spans="9:29">
      <c r="U56" s="58"/>
      <c r="V56" s="59"/>
      <c r="W56" s="60"/>
      <c r="X56" s="60"/>
    </row>
    <row r="57" spans="9:29">
      <c r="U57" s="58"/>
      <c r="V57" s="59"/>
      <c r="W57" s="60"/>
      <c r="X57" s="60"/>
    </row>
    <row r="58" spans="9:29">
      <c r="U58" s="58"/>
      <c r="V58" s="59"/>
      <c r="W58" s="62"/>
      <c r="X58" s="60"/>
    </row>
    <row r="59" spans="9:29">
      <c r="U59" s="58"/>
      <c r="V59" s="59"/>
      <c r="W59" s="62"/>
      <c r="X59" s="60"/>
    </row>
    <row r="60" spans="9:29">
      <c r="U60" s="64"/>
      <c r="V60" s="59"/>
      <c r="W60" s="60"/>
      <c r="X60" s="60"/>
    </row>
    <row r="61" spans="9:29">
      <c r="U61" s="58"/>
      <c r="V61" s="66"/>
      <c r="W61" s="67"/>
      <c r="X61" s="60"/>
    </row>
    <row r="62" spans="9:29">
      <c r="U62" s="60"/>
      <c r="V62" s="59"/>
      <c r="W62" s="60"/>
    </row>
    <row r="63" spans="9:29">
      <c r="U63" s="60"/>
      <c r="V63" s="59"/>
      <c r="W63" s="60"/>
    </row>
    <row r="64" spans="9:29">
      <c r="U64" s="60"/>
      <c r="V64" s="59"/>
      <c r="W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</sheetData>
  <mergeCells count="3">
    <mergeCell ref="I2:R2"/>
    <mergeCell ref="T2:V2"/>
    <mergeCell ref="AC14:AC15"/>
  </mergeCells>
  <conditionalFormatting sqref="R4">
    <cfRule type="cellIs" dxfId="114" priority="2" operator="lessThanOrEqual">
      <formula>0</formula>
    </cfRule>
  </conditionalFormatting>
  <conditionalFormatting sqref="R4:R42">
    <cfRule type="cellIs" dxfId="113" priority="1" operator="greaterThan">
      <formula>0</formula>
    </cfRule>
  </conditionalFormatting>
  <printOptions horizontalCentered="1"/>
  <pageMargins left="0" right="0" top="1.34" bottom="0" header="0" footer="0"/>
  <pageSetup paperSize="9" scale="97" orientation="portrait" r:id="rId1"/>
  <ignoredErrors>
    <ignoredError sqref="L17:N29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55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H16" sqref="H16"/>
    </sheetView>
  </sheetViews>
  <sheetFormatPr baseColWidth="10" defaultRowHeight="15"/>
  <cols>
    <col min="1" max="1" width="5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7.28515625" customWidth="1"/>
    <col min="9" max="9" width="8.7109375" customWidth="1"/>
    <col min="10" max="10" width="24.140625" customWidth="1"/>
    <col min="11" max="12" width="4.7109375" customWidth="1"/>
    <col min="13" max="13" width="7" bestFit="1" customWidth="1"/>
    <col min="14" max="14" width="11.28515625" customWidth="1"/>
    <col min="15" max="15" width="7" bestFit="1" customWidth="1"/>
    <col min="16" max="16" width="11.42578125" customWidth="1"/>
    <col min="17" max="17" width="10.85546875" customWidth="1"/>
    <col min="18" max="18" width="13.85546875" customWidth="1"/>
    <col min="19" max="19" width="7.42578125" style="103" bestFit="1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0.7109375" customWidth="1"/>
  </cols>
  <sheetData>
    <row r="1" spans="8:24" ht="5.0999999999999996" customHeight="1"/>
    <row r="2" spans="8:24">
      <c r="H2" s="83"/>
      <c r="I2" s="439" t="s">
        <v>100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4">
      <c r="H3" s="83"/>
      <c r="I3" s="84"/>
      <c r="J3" s="84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4" ht="34.5">
      <c r="H4" s="83" t="s">
        <v>143</v>
      </c>
      <c r="I4" s="86" t="s">
        <v>7</v>
      </c>
      <c r="J4" s="86" t="s">
        <v>3</v>
      </c>
      <c r="K4" s="97"/>
      <c r="L4" s="98"/>
      <c r="M4" s="127" t="s">
        <v>15</v>
      </c>
      <c r="N4" s="127" t="s">
        <v>94</v>
      </c>
      <c r="O4" s="87" t="s">
        <v>15</v>
      </c>
      <c r="P4" s="87" t="s">
        <v>101</v>
      </c>
      <c r="Q4" s="99" t="s">
        <v>102</v>
      </c>
      <c r="R4" s="88" t="s">
        <v>103</v>
      </c>
      <c r="S4" s="140" t="s">
        <v>104</v>
      </c>
      <c r="T4" s="89"/>
      <c r="U4" s="83"/>
      <c r="V4" s="83"/>
    </row>
    <row r="5" spans="8:24">
      <c r="H5" s="143" t="s">
        <v>50</v>
      </c>
      <c r="I5" s="149" t="s">
        <v>5</v>
      </c>
      <c r="J5" s="155" t="s">
        <v>117</v>
      </c>
      <c r="K5" s="156"/>
      <c r="L5" s="157"/>
      <c r="M5" s="23"/>
      <c r="N5" s="24">
        <f>+M5*3</f>
        <v>0</v>
      </c>
      <c r="O5" s="23">
        <v>9</v>
      </c>
      <c r="P5" s="24">
        <f t="shared" ref="P5:P15" si="0">IF(O5&gt;25,150,(O5)*6)</f>
        <v>54</v>
      </c>
      <c r="Q5" s="152"/>
      <c r="R5" s="154">
        <f t="shared" ref="R5:R42" si="1">+L5+N5+P5+Q5</f>
        <v>54</v>
      </c>
      <c r="S5" s="157"/>
      <c r="T5" s="5"/>
      <c r="U5" s="92">
        <v>828</v>
      </c>
      <c r="V5" s="93">
        <v>107.64</v>
      </c>
      <c r="W5" s="94">
        <v>720.36</v>
      </c>
      <c r="X5" s="70" t="s">
        <v>36</v>
      </c>
    </row>
    <row r="6" spans="8:24">
      <c r="H6" s="83"/>
      <c r="I6" s="126" t="s">
        <v>82</v>
      </c>
      <c r="J6" s="80" t="s">
        <v>141</v>
      </c>
      <c r="K6" s="8"/>
      <c r="L6" s="54">
        <v>0</v>
      </c>
      <c r="M6" s="133"/>
      <c r="N6" s="130">
        <v>0</v>
      </c>
      <c r="O6" s="76"/>
      <c r="P6" s="75">
        <f t="shared" si="0"/>
        <v>0</v>
      </c>
      <c r="Q6" s="50"/>
      <c r="R6" s="11">
        <f t="shared" si="1"/>
        <v>0</v>
      </c>
      <c r="S6" s="106"/>
      <c r="T6" s="5"/>
      <c r="U6" s="30">
        <f>+V6+W6</f>
        <v>827.58620689655174</v>
      </c>
      <c r="V6" s="71">
        <f>+V5*W6/W5</f>
        <v>107.58620689655173</v>
      </c>
      <c r="W6" s="31">
        <v>720</v>
      </c>
      <c r="X6" s="36"/>
    </row>
    <row r="7" spans="8:24">
      <c r="H7" s="83"/>
      <c r="I7" s="126" t="s">
        <v>64</v>
      </c>
      <c r="J7" s="80" t="s">
        <v>138</v>
      </c>
      <c r="K7" s="8"/>
      <c r="L7" s="54">
        <v>0</v>
      </c>
      <c r="M7" s="133"/>
      <c r="N7" s="130">
        <v>0</v>
      </c>
      <c r="O7" s="76">
        <v>2</v>
      </c>
      <c r="P7" s="75">
        <f t="shared" si="0"/>
        <v>12</v>
      </c>
      <c r="Q7" s="50"/>
      <c r="R7" s="11">
        <f t="shared" si="1"/>
        <v>12</v>
      </c>
      <c r="S7" s="106"/>
      <c r="T7" s="5"/>
      <c r="U7" s="32">
        <f>+U5-U6</f>
        <v>0.41379310344825626</v>
      </c>
      <c r="V7" s="47"/>
      <c r="W7" s="33"/>
      <c r="X7" s="4" t="s">
        <v>59</v>
      </c>
    </row>
    <row r="8" spans="8:24">
      <c r="H8" s="83"/>
      <c r="I8" s="25" t="s">
        <v>2</v>
      </c>
      <c r="J8" s="81" t="s">
        <v>107</v>
      </c>
      <c r="K8" s="29"/>
      <c r="L8" s="55"/>
      <c r="M8" s="128"/>
      <c r="N8" s="130">
        <f>+M8*3</f>
        <v>0</v>
      </c>
      <c r="O8" s="74">
        <v>47</v>
      </c>
      <c r="P8" s="75">
        <f t="shared" si="0"/>
        <v>150</v>
      </c>
      <c r="Q8" s="50"/>
      <c r="R8" s="9">
        <f t="shared" si="1"/>
        <v>150</v>
      </c>
      <c r="S8" s="138"/>
      <c r="T8" s="5"/>
      <c r="U8" s="34">
        <v>150</v>
      </c>
      <c r="V8" s="38">
        <f>+U8-U7</f>
        <v>149.58620689655174</v>
      </c>
      <c r="W8" s="39" t="s">
        <v>63</v>
      </c>
      <c r="X8" s="6">
        <f>150-V8</f>
        <v>0.41379310344825626</v>
      </c>
    </row>
    <row r="9" spans="8:24">
      <c r="H9" s="95"/>
      <c r="I9" s="25" t="s">
        <v>42</v>
      </c>
      <c r="J9" s="81" t="s">
        <v>119</v>
      </c>
      <c r="K9" s="26"/>
      <c r="L9" s="27"/>
      <c r="M9" s="128"/>
      <c r="N9" s="130">
        <f>+M9*3</f>
        <v>0</v>
      </c>
      <c r="O9" s="28">
        <v>24</v>
      </c>
      <c r="P9" s="75">
        <f t="shared" si="0"/>
        <v>144</v>
      </c>
      <c r="Q9" s="49"/>
      <c r="R9" s="11">
        <f t="shared" si="1"/>
        <v>144</v>
      </c>
      <c r="S9" s="107"/>
      <c r="T9" s="5"/>
      <c r="U9" s="10"/>
      <c r="X9" s="37"/>
    </row>
    <row r="10" spans="8:24" ht="15" customHeight="1">
      <c r="H10" s="83"/>
      <c r="I10" s="25" t="s">
        <v>1</v>
      </c>
      <c r="J10" s="81" t="s">
        <v>106</v>
      </c>
      <c r="K10" s="29"/>
      <c r="L10" s="55">
        <f>+K10*3</f>
        <v>0</v>
      </c>
      <c r="M10" s="128"/>
      <c r="N10" s="130">
        <f>3*M10</f>
        <v>0</v>
      </c>
      <c r="O10" s="74">
        <v>28</v>
      </c>
      <c r="P10" s="75">
        <f t="shared" si="0"/>
        <v>150</v>
      </c>
      <c r="Q10" s="50"/>
      <c r="R10" s="9">
        <f t="shared" si="1"/>
        <v>150</v>
      </c>
      <c r="S10" s="107"/>
      <c r="T10" s="5"/>
      <c r="U10" s="92">
        <v>856</v>
      </c>
      <c r="V10" s="93">
        <v>110.51</v>
      </c>
      <c r="W10" s="94">
        <v>745.49</v>
      </c>
      <c r="X10" s="70" t="s">
        <v>35</v>
      </c>
    </row>
    <row r="11" spans="8:24">
      <c r="H11" s="141"/>
      <c r="I11" s="126" t="s">
        <v>56</v>
      </c>
      <c r="J11" s="80" t="s">
        <v>136</v>
      </c>
      <c r="K11" s="8"/>
      <c r="L11" s="54">
        <v>0</v>
      </c>
      <c r="M11" s="133"/>
      <c r="N11" s="130">
        <f>M11*3</f>
        <v>0</v>
      </c>
      <c r="O11" s="76">
        <v>20</v>
      </c>
      <c r="P11" s="75">
        <f t="shared" si="0"/>
        <v>120</v>
      </c>
      <c r="Q11" s="50"/>
      <c r="R11" s="11">
        <f t="shared" si="1"/>
        <v>120</v>
      </c>
      <c r="S11" s="106"/>
      <c r="T11" s="5"/>
      <c r="U11" s="30">
        <f>+V11+W11</f>
        <v>826.7314115548163</v>
      </c>
      <c r="V11" s="71">
        <f>+V10*W11/W10</f>
        <v>106.73141155481629</v>
      </c>
      <c r="W11" s="31">
        <v>720</v>
      </c>
      <c r="X11" s="37"/>
    </row>
    <row r="12" spans="8:24">
      <c r="H12" s="95"/>
      <c r="I12" s="25" t="s">
        <v>16</v>
      </c>
      <c r="J12" s="81" t="s">
        <v>113</v>
      </c>
      <c r="K12" s="29"/>
      <c r="L12" s="54">
        <f>+K12*3</f>
        <v>0</v>
      </c>
      <c r="M12" s="128"/>
      <c r="N12" s="130">
        <v>0</v>
      </c>
      <c r="O12" s="28">
        <v>24</v>
      </c>
      <c r="P12" s="75">
        <f t="shared" si="0"/>
        <v>144</v>
      </c>
      <c r="Q12" s="49"/>
      <c r="R12" s="11">
        <f t="shared" si="1"/>
        <v>144</v>
      </c>
      <c r="S12" s="106"/>
      <c r="T12" s="5"/>
      <c r="U12" s="32">
        <f>+U10-U11</f>
        <v>29.268588445183696</v>
      </c>
      <c r="V12" s="47"/>
      <c r="W12" s="33"/>
      <c r="X12" s="4" t="s">
        <v>59</v>
      </c>
    </row>
    <row r="13" spans="8:24">
      <c r="H13" s="83"/>
      <c r="I13" s="25" t="s">
        <v>92</v>
      </c>
      <c r="J13" s="81" t="s">
        <v>109</v>
      </c>
      <c r="K13" s="29"/>
      <c r="L13" s="55">
        <f>+K13*5</f>
        <v>0</v>
      </c>
      <c r="M13" s="128"/>
      <c r="N13" s="130">
        <v>0</v>
      </c>
      <c r="O13" s="74">
        <v>17</v>
      </c>
      <c r="P13" s="75">
        <f t="shared" si="0"/>
        <v>102</v>
      </c>
      <c r="Q13" s="50"/>
      <c r="R13" s="9">
        <f t="shared" si="1"/>
        <v>102</v>
      </c>
      <c r="S13" s="107"/>
      <c r="T13" s="5"/>
      <c r="U13" s="34">
        <v>150</v>
      </c>
      <c r="V13" s="38">
        <f>+U13-U12</f>
        <v>120.7314115548163</v>
      </c>
      <c r="W13" s="39" t="s">
        <v>63</v>
      </c>
      <c r="X13" s="6">
        <f>150-V13</f>
        <v>29.268588445183696</v>
      </c>
    </row>
    <row r="14" spans="8:24">
      <c r="H14" s="95"/>
      <c r="I14" s="25" t="s">
        <v>20</v>
      </c>
      <c r="J14" s="81" t="s">
        <v>115</v>
      </c>
      <c r="K14" s="29"/>
      <c r="L14" s="27"/>
      <c r="M14" s="128"/>
      <c r="N14" s="130">
        <f>+M14*3</f>
        <v>0</v>
      </c>
      <c r="O14" s="28">
        <v>33</v>
      </c>
      <c r="P14" s="75">
        <f t="shared" si="0"/>
        <v>150</v>
      </c>
      <c r="Q14" s="49"/>
      <c r="R14" s="57">
        <f t="shared" si="1"/>
        <v>150</v>
      </c>
      <c r="S14" s="107"/>
      <c r="T14" s="5"/>
      <c r="U14" s="10"/>
      <c r="X14" s="37"/>
    </row>
    <row r="15" spans="8:24">
      <c r="H15" s="143" t="s">
        <v>50</v>
      </c>
      <c r="I15" s="21" t="s">
        <v>77</v>
      </c>
      <c r="J15" s="20" t="s">
        <v>140</v>
      </c>
      <c r="K15" s="22"/>
      <c r="L15" s="56">
        <v>0</v>
      </c>
      <c r="M15" s="131"/>
      <c r="N15" s="132">
        <v>0</v>
      </c>
      <c r="O15" s="23"/>
      <c r="P15" s="24">
        <f t="shared" si="0"/>
        <v>0</v>
      </c>
      <c r="Q15" s="51"/>
      <c r="R15" s="24">
        <f t="shared" si="1"/>
        <v>0</v>
      </c>
      <c r="S15" s="108"/>
      <c r="T15" s="5"/>
      <c r="U15" s="92">
        <f>644+150</f>
        <v>794</v>
      </c>
      <c r="V15" s="93">
        <v>0</v>
      </c>
      <c r="W15" s="101">
        <v>769.08</v>
      </c>
      <c r="X15" s="100" t="s">
        <v>21</v>
      </c>
    </row>
    <row r="16" spans="8:24">
      <c r="H16" s="187" t="s">
        <v>170</v>
      </c>
      <c r="I16" s="188" t="s">
        <v>69</v>
      </c>
      <c r="J16" s="189" t="s">
        <v>105</v>
      </c>
      <c r="K16" s="190"/>
      <c r="L16" s="191">
        <f>+K16*3</f>
        <v>0</v>
      </c>
      <c r="M16" s="192"/>
      <c r="N16" s="193">
        <f>3*M16</f>
        <v>0</v>
      </c>
      <c r="O16" s="194"/>
      <c r="P16" s="193"/>
      <c r="Q16" s="195"/>
      <c r="R16" s="196">
        <f t="shared" si="1"/>
        <v>0</v>
      </c>
      <c r="S16" s="197"/>
      <c r="T16" s="5"/>
      <c r="U16" s="30">
        <f>+V16+W16</f>
        <v>720</v>
      </c>
      <c r="V16" s="71">
        <f>+V15*W16/W15</f>
        <v>0</v>
      </c>
      <c r="W16" s="31">
        <v>720</v>
      </c>
      <c r="X16" s="37"/>
    </row>
    <row r="17" spans="1:24">
      <c r="H17" s="95"/>
      <c r="I17" s="25" t="s">
        <v>25</v>
      </c>
      <c r="J17" s="81" t="s">
        <v>118</v>
      </c>
      <c r="K17" s="26"/>
      <c r="L17" s="27"/>
      <c r="M17" s="128"/>
      <c r="N17" s="130">
        <f>+M17*3</f>
        <v>0</v>
      </c>
      <c r="O17" s="28">
        <v>25</v>
      </c>
      <c r="P17" s="75">
        <f t="shared" ref="P17:P27" si="2">IF(O17&gt;25,150,(O17)*6)</f>
        <v>150</v>
      </c>
      <c r="Q17" s="49"/>
      <c r="R17" s="11">
        <f t="shared" si="1"/>
        <v>150</v>
      </c>
      <c r="S17" s="107"/>
      <c r="T17" s="5"/>
      <c r="U17" s="32">
        <f>+U15-U16</f>
        <v>74</v>
      </c>
      <c r="V17" s="47"/>
      <c r="W17" s="33"/>
      <c r="X17" s="4" t="s">
        <v>59</v>
      </c>
    </row>
    <row r="18" spans="1:24">
      <c r="H18" s="95"/>
      <c r="I18" s="25" t="s">
        <v>41</v>
      </c>
      <c r="J18" s="81" t="s">
        <v>112</v>
      </c>
      <c r="K18" s="29"/>
      <c r="L18" s="27"/>
      <c r="M18" s="128"/>
      <c r="N18" s="130">
        <f>+M18*3</f>
        <v>0</v>
      </c>
      <c r="O18" s="28">
        <v>36</v>
      </c>
      <c r="P18" s="75">
        <f t="shared" si="2"/>
        <v>150</v>
      </c>
      <c r="Q18" s="49"/>
      <c r="R18" s="11">
        <f t="shared" si="1"/>
        <v>150</v>
      </c>
      <c r="S18" s="107"/>
      <c r="T18" s="5"/>
      <c r="U18" s="34">
        <v>150</v>
      </c>
      <c r="V18" s="38">
        <f>+U18-U17</f>
        <v>76</v>
      </c>
      <c r="W18" s="39" t="s">
        <v>63</v>
      </c>
      <c r="X18" s="6">
        <f>150-V18</f>
        <v>74</v>
      </c>
    </row>
    <row r="19" spans="1:24">
      <c r="H19" s="83"/>
      <c r="I19" s="126" t="s">
        <v>71</v>
      </c>
      <c r="J19" s="80" t="s">
        <v>139</v>
      </c>
      <c r="K19" s="8"/>
      <c r="L19" s="54">
        <v>0</v>
      </c>
      <c r="M19" s="133"/>
      <c r="N19" s="130">
        <f>5*M19</f>
        <v>0</v>
      </c>
      <c r="O19" s="76">
        <v>10</v>
      </c>
      <c r="P19" s="75">
        <f t="shared" si="2"/>
        <v>60</v>
      </c>
      <c r="Q19" s="50"/>
      <c r="R19" s="11">
        <f t="shared" si="1"/>
        <v>60</v>
      </c>
      <c r="S19" s="106"/>
      <c r="T19" s="5"/>
      <c r="U19" s="10"/>
      <c r="X19" s="37"/>
    </row>
    <row r="20" spans="1:24">
      <c r="H20" s="141"/>
      <c r="I20" s="25" t="s">
        <v>28</v>
      </c>
      <c r="J20" s="81" t="s">
        <v>122</v>
      </c>
      <c r="K20" s="29"/>
      <c r="L20" s="55"/>
      <c r="M20" s="128"/>
      <c r="N20" s="130">
        <f>+M20*3</f>
        <v>0</v>
      </c>
      <c r="O20" s="74">
        <v>23</v>
      </c>
      <c r="P20" s="75">
        <f t="shared" si="2"/>
        <v>138</v>
      </c>
      <c r="Q20" s="50"/>
      <c r="R20" s="9">
        <f t="shared" si="1"/>
        <v>138</v>
      </c>
      <c r="S20" s="107"/>
      <c r="T20" s="5"/>
      <c r="U20" s="58"/>
      <c r="V20" s="59"/>
      <c r="W20" s="60"/>
      <c r="X20" s="61"/>
    </row>
    <row r="21" spans="1:24">
      <c r="H21" s="141"/>
      <c r="I21" s="25" t="s">
        <v>10</v>
      </c>
      <c r="J21" s="96" t="s">
        <v>129</v>
      </c>
      <c r="K21" s="35"/>
      <c r="L21" s="55">
        <f>+K21*3</f>
        <v>0</v>
      </c>
      <c r="M21" s="128"/>
      <c r="N21" s="130">
        <f>5*M21</f>
        <v>0</v>
      </c>
      <c r="O21" s="74"/>
      <c r="P21" s="75">
        <f t="shared" si="2"/>
        <v>0</v>
      </c>
      <c r="Q21" s="112"/>
      <c r="R21" s="9">
        <f t="shared" si="1"/>
        <v>0</v>
      </c>
      <c r="S21" s="107"/>
      <c r="T21" s="5"/>
      <c r="U21" s="58"/>
      <c r="V21" s="59"/>
      <c r="W21" s="60"/>
      <c r="X21" s="63"/>
    </row>
    <row r="22" spans="1:24">
      <c r="H22" s="142"/>
      <c r="I22" s="25" t="s">
        <v>4</v>
      </c>
      <c r="J22" s="81" t="s">
        <v>111</v>
      </c>
      <c r="K22" s="29"/>
      <c r="L22" s="27"/>
      <c r="M22" s="128"/>
      <c r="N22" s="130">
        <v>0</v>
      </c>
      <c r="O22" s="28">
        <v>7</v>
      </c>
      <c r="P22" s="75">
        <f t="shared" si="2"/>
        <v>42</v>
      </c>
      <c r="Q22" s="49"/>
      <c r="R22" s="11">
        <f t="shared" si="1"/>
        <v>42</v>
      </c>
      <c r="S22" s="107"/>
      <c r="T22" s="5"/>
      <c r="U22" s="64"/>
      <c r="V22" s="59"/>
      <c r="W22" s="60"/>
      <c r="X22" s="65"/>
    </row>
    <row r="23" spans="1:24">
      <c r="H23" s="83"/>
      <c r="I23" s="25" t="s">
        <v>9</v>
      </c>
      <c r="J23" s="96" t="s">
        <v>128</v>
      </c>
      <c r="K23" s="35"/>
      <c r="L23" s="55">
        <f>+K23*3</f>
        <v>0</v>
      </c>
      <c r="M23" s="128"/>
      <c r="N23" s="130">
        <f>+M23*3</f>
        <v>0</v>
      </c>
      <c r="O23" s="74">
        <v>25</v>
      </c>
      <c r="P23" s="75">
        <f t="shared" si="2"/>
        <v>150</v>
      </c>
      <c r="Q23" s="112"/>
      <c r="R23" s="11">
        <f t="shared" si="1"/>
        <v>150</v>
      </c>
      <c r="S23" s="107"/>
      <c r="T23" s="5"/>
      <c r="U23" s="58"/>
      <c r="V23" s="66"/>
      <c r="W23" s="60"/>
      <c r="X23" s="66"/>
    </row>
    <row r="24" spans="1:24">
      <c r="H24" s="83"/>
      <c r="I24" s="126" t="s">
        <v>51</v>
      </c>
      <c r="J24" s="82" t="s">
        <v>134</v>
      </c>
      <c r="K24" s="12"/>
      <c r="L24" s="54">
        <v>0</v>
      </c>
      <c r="M24" s="133"/>
      <c r="N24" s="130">
        <f>+M24*3</f>
        <v>0</v>
      </c>
      <c r="O24" s="76">
        <v>28</v>
      </c>
      <c r="P24" s="75">
        <f t="shared" si="2"/>
        <v>150</v>
      </c>
      <c r="Q24" s="49"/>
      <c r="R24" s="11">
        <f t="shared" si="1"/>
        <v>150</v>
      </c>
      <c r="S24" s="106"/>
      <c r="T24" s="5"/>
      <c r="U24" s="58"/>
      <c r="V24" s="59"/>
      <c r="W24" s="60"/>
      <c r="X24" s="65"/>
    </row>
    <row r="25" spans="1:24">
      <c r="H25" s="83"/>
      <c r="I25" s="126" t="s">
        <v>61</v>
      </c>
      <c r="J25" s="80" t="s">
        <v>137</v>
      </c>
      <c r="K25" s="8"/>
      <c r="L25" s="54">
        <v>0</v>
      </c>
      <c r="M25" s="133"/>
      <c r="N25" s="130">
        <f>3*M25:M25</f>
        <v>0</v>
      </c>
      <c r="O25" s="72"/>
      <c r="P25" s="75">
        <f t="shared" si="2"/>
        <v>0</v>
      </c>
      <c r="Q25" s="50"/>
      <c r="R25" s="11">
        <f t="shared" si="1"/>
        <v>0</v>
      </c>
      <c r="S25" s="106"/>
      <c r="T25" s="5"/>
      <c r="U25" s="58"/>
      <c r="V25" s="59"/>
      <c r="W25" s="60"/>
      <c r="X25" s="61"/>
    </row>
    <row r="26" spans="1:24">
      <c r="H26" s="83"/>
      <c r="I26" s="25" t="s">
        <v>14</v>
      </c>
      <c r="J26" s="96" t="s">
        <v>125</v>
      </c>
      <c r="K26" s="29"/>
      <c r="L26" s="55">
        <v>0</v>
      </c>
      <c r="M26" s="128"/>
      <c r="N26" s="130">
        <v>0</v>
      </c>
      <c r="O26" s="74"/>
      <c r="P26" s="75">
        <f t="shared" si="2"/>
        <v>0</v>
      </c>
      <c r="Q26" s="49"/>
      <c r="R26" s="11">
        <f t="shared" si="1"/>
        <v>0</v>
      </c>
      <c r="S26" s="107"/>
      <c r="T26" s="5"/>
      <c r="U26" s="58"/>
      <c r="V26" s="59"/>
      <c r="W26" s="60"/>
      <c r="X26" s="61"/>
    </row>
    <row r="27" spans="1:24">
      <c r="H27" s="83"/>
      <c r="I27" s="126" t="s">
        <v>79</v>
      </c>
      <c r="J27" s="82" t="s">
        <v>110</v>
      </c>
      <c r="K27" s="8"/>
      <c r="L27" s="54">
        <f>+K27*3</f>
        <v>0</v>
      </c>
      <c r="M27" s="128"/>
      <c r="N27" s="130">
        <f>+M27*3</f>
        <v>0</v>
      </c>
      <c r="O27" s="76">
        <v>19</v>
      </c>
      <c r="P27" s="75">
        <f t="shared" si="2"/>
        <v>114</v>
      </c>
      <c r="Q27" s="50"/>
      <c r="R27" s="11">
        <f t="shared" si="1"/>
        <v>114</v>
      </c>
      <c r="S27" s="106"/>
      <c r="T27" s="5"/>
      <c r="U27" s="64"/>
      <c r="V27" s="59"/>
      <c r="W27" s="60"/>
      <c r="X27" s="61"/>
    </row>
    <row r="28" spans="1:24">
      <c r="A28" s="4"/>
      <c r="B28" s="4"/>
      <c r="C28" s="4"/>
      <c r="D28" s="3"/>
      <c r="E28" s="4"/>
      <c r="F28" s="40"/>
      <c r="G28" s="4"/>
      <c r="H28" s="83"/>
      <c r="I28" s="25" t="s">
        <v>0</v>
      </c>
      <c r="J28" s="81" t="s">
        <v>108</v>
      </c>
      <c r="K28" s="29"/>
      <c r="L28" s="55">
        <f>+K28*5</f>
        <v>0</v>
      </c>
      <c r="M28" s="128"/>
      <c r="N28" s="130">
        <f>+M28*5</f>
        <v>0</v>
      </c>
      <c r="O28" s="74"/>
      <c r="P28" s="75">
        <v>0</v>
      </c>
      <c r="Q28" s="50"/>
      <c r="R28" s="9">
        <f t="shared" si="1"/>
        <v>0</v>
      </c>
      <c r="S28" s="107"/>
      <c r="T28" s="5"/>
      <c r="U28" s="58"/>
      <c r="V28" s="59"/>
      <c r="W28" s="60"/>
      <c r="X28" s="61"/>
    </row>
    <row r="29" spans="1:24">
      <c r="H29" s="83"/>
      <c r="I29" s="25" t="s">
        <v>45</v>
      </c>
      <c r="J29" s="81" t="s">
        <v>133</v>
      </c>
      <c r="K29" s="26"/>
      <c r="L29" s="55">
        <v>0</v>
      </c>
      <c r="M29" s="128"/>
      <c r="N29" s="130">
        <f>+M29*3</f>
        <v>0</v>
      </c>
      <c r="O29" s="74">
        <v>10</v>
      </c>
      <c r="P29" s="75">
        <f t="shared" ref="P29:P42" si="3">IF(O29&gt;25,150,(O29)*6)</f>
        <v>60</v>
      </c>
      <c r="Q29" s="49"/>
      <c r="R29" s="11">
        <f t="shared" si="1"/>
        <v>60</v>
      </c>
      <c r="S29" s="107"/>
      <c r="T29" s="5"/>
      <c r="U29" s="58"/>
      <c r="V29" s="59"/>
      <c r="W29" s="60"/>
      <c r="X29" s="61"/>
    </row>
    <row r="30" spans="1:24">
      <c r="H30" s="143" t="s">
        <v>50</v>
      </c>
      <c r="I30" s="21" t="s">
        <v>13</v>
      </c>
      <c r="J30" s="20" t="s">
        <v>121</v>
      </c>
      <c r="K30" s="22"/>
      <c r="L30" s="56">
        <f>+K30*3</f>
        <v>0</v>
      </c>
      <c r="M30" s="131"/>
      <c r="N30" s="132">
        <v>0</v>
      </c>
      <c r="O30" s="23"/>
      <c r="P30" s="24">
        <f t="shared" si="3"/>
        <v>0</v>
      </c>
      <c r="Q30" s="51"/>
      <c r="R30" s="24">
        <f t="shared" si="1"/>
        <v>0</v>
      </c>
      <c r="S30" s="108"/>
      <c r="T30" s="5"/>
      <c r="U30" s="58"/>
      <c r="V30" s="59"/>
      <c r="W30" s="60"/>
      <c r="X30" s="61"/>
    </row>
    <row r="31" spans="1:24">
      <c r="H31" s="83"/>
      <c r="I31" s="25" t="s">
        <v>31</v>
      </c>
      <c r="J31" s="81" t="s">
        <v>127</v>
      </c>
      <c r="K31" s="29"/>
      <c r="L31" s="55">
        <f>+K31*3</f>
        <v>0</v>
      </c>
      <c r="M31" s="128"/>
      <c r="N31" s="130">
        <v>0</v>
      </c>
      <c r="O31" s="74">
        <v>28</v>
      </c>
      <c r="P31" s="75">
        <f t="shared" si="3"/>
        <v>150</v>
      </c>
      <c r="Q31" s="49"/>
      <c r="R31" s="11">
        <f t="shared" si="1"/>
        <v>150</v>
      </c>
      <c r="S31" s="107"/>
      <c r="T31" s="5"/>
      <c r="U31" s="58"/>
      <c r="V31" s="59"/>
      <c r="W31" s="60"/>
      <c r="X31" s="65"/>
    </row>
    <row r="32" spans="1:24" s="4" customFormat="1">
      <c r="A32"/>
      <c r="B32"/>
      <c r="C32"/>
      <c r="D32" s="1"/>
      <c r="E32"/>
      <c r="F32" s="2"/>
      <c r="G32"/>
      <c r="H32" s="83"/>
      <c r="I32" s="25" t="s">
        <v>30</v>
      </c>
      <c r="J32" s="81" t="s">
        <v>126</v>
      </c>
      <c r="K32" s="29"/>
      <c r="L32" s="55">
        <v>0</v>
      </c>
      <c r="M32" s="128"/>
      <c r="N32" s="130">
        <f>+M32*3</f>
        <v>0</v>
      </c>
      <c r="O32" s="28">
        <v>32</v>
      </c>
      <c r="P32" s="11">
        <f t="shared" si="3"/>
        <v>150</v>
      </c>
      <c r="Q32" s="49"/>
      <c r="R32" s="11">
        <f t="shared" si="1"/>
        <v>150</v>
      </c>
      <c r="S32" s="107"/>
      <c r="T32" s="5"/>
      <c r="U32" s="64"/>
      <c r="V32" s="59"/>
      <c r="W32" s="60"/>
      <c r="X32" s="68"/>
    </row>
    <row r="33" spans="8:24">
      <c r="H33" s="143" t="s">
        <v>50</v>
      </c>
      <c r="I33" s="21" t="s">
        <v>17</v>
      </c>
      <c r="J33" s="20" t="s">
        <v>123</v>
      </c>
      <c r="K33" s="22"/>
      <c r="L33" s="157">
        <f>+K33*3</f>
        <v>0</v>
      </c>
      <c r="M33" s="23"/>
      <c r="N33" s="24">
        <f>+M33*3</f>
        <v>0</v>
      </c>
      <c r="O33" s="23">
        <v>1</v>
      </c>
      <c r="P33" s="24">
        <f t="shared" si="3"/>
        <v>6</v>
      </c>
      <c r="Q33" s="51"/>
      <c r="R33" s="24">
        <f t="shared" si="1"/>
        <v>6</v>
      </c>
      <c r="S33" s="158"/>
      <c r="T33" s="5"/>
      <c r="U33" s="58"/>
      <c r="V33" s="66"/>
      <c r="W33" s="67"/>
      <c r="X33" s="69"/>
    </row>
    <row r="34" spans="8:24">
      <c r="H34" s="83"/>
      <c r="I34" s="25" t="s">
        <v>60</v>
      </c>
      <c r="J34" s="81" t="s">
        <v>132</v>
      </c>
      <c r="K34" s="26"/>
      <c r="L34" s="55"/>
      <c r="M34" s="128"/>
      <c r="N34" s="130">
        <v>0</v>
      </c>
      <c r="O34" s="74"/>
      <c r="P34" s="75">
        <f t="shared" si="3"/>
        <v>0</v>
      </c>
      <c r="Q34" s="49"/>
      <c r="R34" s="11">
        <f t="shared" si="1"/>
        <v>0</v>
      </c>
      <c r="S34" s="107"/>
      <c r="T34" s="5"/>
      <c r="U34" s="58"/>
      <c r="V34" s="59"/>
      <c r="W34" s="60"/>
      <c r="X34" s="65"/>
    </row>
    <row r="35" spans="8:24">
      <c r="H35" s="142"/>
      <c r="I35" s="25" t="s">
        <v>8</v>
      </c>
      <c r="J35" s="81" t="s">
        <v>120</v>
      </c>
      <c r="K35" s="29"/>
      <c r="L35" s="27"/>
      <c r="M35" s="128"/>
      <c r="N35" s="130">
        <f>+M35*3</f>
        <v>0</v>
      </c>
      <c r="O35" s="28">
        <v>23</v>
      </c>
      <c r="P35" s="75">
        <f t="shared" si="3"/>
        <v>138</v>
      </c>
      <c r="Q35" s="49"/>
      <c r="R35" s="57">
        <f t="shared" si="1"/>
        <v>138</v>
      </c>
      <c r="S35" s="107"/>
      <c r="T35" s="5"/>
      <c r="U35" s="58"/>
      <c r="V35" s="59"/>
      <c r="W35" s="60"/>
      <c r="X35" s="61"/>
    </row>
    <row r="36" spans="8:24">
      <c r="H36" s="83"/>
      <c r="I36" s="25" t="s">
        <v>11</v>
      </c>
      <c r="J36" s="96" t="s">
        <v>130</v>
      </c>
      <c r="K36" s="35"/>
      <c r="L36" s="55">
        <f>+K36*3</f>
        <v>0</v>
      </c>
      <c r="M36" s="128"/>
      <c r="N36" s="130">
        <f>+M36*3</f>
        <v>0</v>
      </c>
      <c r="O36" s="74">
        <v>1</v>
      </c>
      <c r="P36" s="75">
        <f t="shared" si="3"/>
        <v>6</v>
      </c>
      <c r="Q36" s="112"/>
      <c r="R36" s="11">
        <f t="shared" si="1"/>
        <v>6</v>
      </c>
      <c r="S36" s="107"/>
      <c r="T36" s="5"/>
      <c r="U36" s="58"/>
      <c r="V36" s="59"/>
      <c r="W36" s="62"/>
      <c r="X36" s="63"/>
    </row>
    <row r="37" spans="8:24">
      <c r="H37" s="83"/>
      <c r="I37" s="25" t="s">
        <v>48</v>
      </c>
      <c r="J37" s="81" t="s">
        <v>131</v>
      </c>
      <c r="K37" s="26"/>
      <c r="L37" s="55"/>
      <c r="M37" s="128"/>
      <c r="N37" s="130">
        <f>+M37*3</f>
        <v>0</v>
      </c>
      <c r="O37" s="74">
        <v>22</v>
      </c>
      <c r="P37" s="75">
        <f t="shared" si="3"/>
        <v>132</v>
      </c>
      <c r="Q37" s="49"/>
      <c r="R37" s="11">
        <f t="shared" si="1"/>
        <v>132</v>
      </c>
      <c r="S37" s="107"/>
      <c r="T37" s="5"/>
      <c r="U37" s="58"/>
      <c r="V37" s="66"/>
      <c r="W37" s="67"/>
      <c r="X37" s="66"/>
    </row>
    <row r="38" spans="8:24">
      <c r="H38" s="144"/>
      <c r="I38" s="25" t="s">
        <v>84</v>
      </c>
      <c r="J38" s="96" t="s">
        <v>142</v>
      </c>
      <c r="K38" s="145"/>
      <c r="L38" s="55">
        <v>0</v>
      </c>
      <c r="M38" s="128"/>
      <c r="N38" s="130">
        <v>0</v>
      </c>
      <c r="O38" s="28">
        <v>19</v>
      </c>
      <c r="P38" s="11">
        <f t="shared" si="3"/>
        <v>114</v>
      </c>
      <c r="Q38" s="112"/>
      <c r="R38" s="11">
        <f t="shared" si="1"/>
        <v>114</v>
      </c>
      <c r="S38" s="107"/>
      <c r="T38" s="5"/>
      <c r="U38" s="58"/>
      <c r="V38" s="66"/>
      <c r="W38" s="67"/>
      <c r="X38" s="66"/>
    </row>
    <row r="39" spans="8:24">
      <c r="H39" s="83"/>
      <c r="I39" s="25" t="s">
        <v>44</v>
      </c>
      <c r="J39" s="96" t="s">
        <v>124</v>
      </c>
      <c r="K39" s="29"/>
      <c r="L39" s="55">
        <v>0</v>
      </c>
      <c r="M39" s="128"/>
      <c r="N39" s="130">
        <f>+M39*3</f>
        <v>0</v>
      </c>
      <c r="O39" s="113"/>
      <c r="P39" s="75">
        <f t="shared" si="3"/>
        <v>0</v>
      </c>
      <c r="Q39" s="49"/>
      <c r="R39" s="11">
        <f t="shared" si="1"/>
        <v>0</v>
      </c>
      <c r="S39" s="107"/>
      <c r="T39" s="5"/>
      <c r="U39" s="58"/>
      <c r="V39" s="59"/>
      <c r="W39" s="60"/>
      <c r="X39" s="65"/>
    </row>
    <row r="40" spans="8:24">
      <c r="H40" s="81"/>
      <c r="I40" s="25" t="s">
        <v>6</v>
      </c>
      <c r="J40" s="81" t="s">
        <v>116</v>
      </c>
      <c r="K40" s="29"/>
      <c r="L40" s="27"/>
      <c r="M40" s="128"/>
      <c r="N40" s="130">
        <f>+M40*3</f>
        <v>0</v>
      </c>
      <c r="O40" s="28"/>
      <c r="P40" s="75">
        <f t="shared" si="3"/>
        <v>0</v>
      </c>
      <c r="Q40" s="49"/>
      <c r="R40" s="57">
        <f t="shared" si="1"/>
        <v>0</v>
      </c>
      <c r="S40" s="107"/>
      <c r="T40" s="5"/>
      <c r="U40" s="58"/>
      <c r="V40" s="59"/>
      <c r="W40" s="60"/>
      <c r="X40" s="65"/>
    </row>
    <row r="41" spans="8:24">
      <c r="H41" s="83"/>
      <c r="I41" s="126" t="s">
        <v>53</v>
      </c>
      <c r="J41" s="80" t="s">
        <v>135</v>
      </c>
      <c r="K41" s="8"/>
      <c r="L41" s="54">
        <v>0</v>
      </c>
      <c r="M41" s="133"/>
      <c r="N41" s="130">
        <v>0</v>
      </c>
      <c r="O41" s="76">
        <v>25</v>
      </c>
      <c r="P41" s="75">
        <f t="shared" si="3"/>
        <v>150</v>
      </c>
      <c r="Q41" s="50"/>
      <c r="R41" s="11">
        <f t="shared" si="1"/>
        <v>150</v>
      </c>
      <c r="S41" s="106"/>
      <c r="T41" s="5"/>
      <c r="U41" s="58"/>
      <c r="V41" s="59"/>
      <c r="W41" s="60"/>
      <c r="X41" s="61"/>
    </row>
    <row r="42" spans="8:24">
      <c r="H42" s="81"/>
      <c r="I42" s="120" t="s">
        <v>12</v>
      </c>
      <c r="J42" s="150" t="s">
        <v>114</v>
      </c>
      <c r="K42" s="151"/>
      <c r="L42" s="146">
        <f>+K42*3</f>
        <v>0</v>
      </c>
      <c r="M42" s="134"/>
      <c r="N42" s="135">
        <f>3*M42</f>
        <v>0</v>
      </c>
      <c r="O42" s="122">
        <v>16</v>
      </c>
      <c r="P42" s="147">
        <f t="shared" si="3"/>
        <v>96</v>
      </c>
      <c r="Q42" s="153"/>
      <c r="R42" s="124">
        <f t="shared" si="1"/>
        <v>96</v>
      </c>
      <c r="S42" s="148"/>
      <c r="T42" s="5"/>
      <c r="U42" s="58"/>
      <c r="V42" s="59"/>
      <c r="W42" s="60"/>
      <c r="X42" s="61"/>
    </row>
    <row r="43" spans="8:24">
      <c r="I43" s="13"/>
      <c r="J43" s="14"/>
      <c r="K43" s="17">
        <f t="shared" ref="K43:S43" si="4">SUM(K5:K42)</f>
        <v>0</v>
      </c>
      <c r="L43" s="18">
        <f t="shared" si="4"/>
        <v>0</v>
      </c>
      <c r="M43" s="136">
        <f t="shared" si="4"/>
        <v>0</v>
      </c>
      <c r="N43" s="137">
        <f t="shared" si="4"/>
        <v>0</v>
      </c>
      <c r="O43" s="77">
        <f t="shared" si="4"/>
        <v>554</v>
      </c>
      <c r="P43" s="78">
        <f t="shared" si="4"/>
        <v>2982</v>
      </c>
      <c r="Q43" s="16">
        <f t="shared" si="4"/>
        <v>0</v>
      </c>
      <c r="R43" s="78">
        <f t="shared" si="4"/>
        <v>2982</v>
      </c>
      <c r="S43" s="102">
        <f t="shared" si="4"/>
        <v>0</v>
      </c>
      <c r="T43" s="5"/>
      <c r="U43" s="58"/>
      <c r="V43" s="59"/>
      <c r="W43" s="60"/>
      <c r="X43" s="65"/>
    </row>
    <row r="44" spans="8:24">
      <c r="K44" s="41"/>
      <c r="M44" s="42"/>
      <c r="N44" s="41"/>
      <c r="O44" s="45" t="s">
        <v>81</v>
      </c>
      <c r="Q44" s="42"/>
      <c r="R44" s="45">
        <f>+R30+R15+R5+R33</f>
        <v>60</v>
      </c>
      <c r="T44" s="5"/>
      <c r="U44" s="58"/>
      <c r="V44" s="59"/>
      <c r="W44" s="62"/>
      <c r="X44" s="60"/>
    </row>
    <row r="45" spans="8:24">
      <c r="L45" s="43"/>
      <c r="M45" s="44"/>
      <c r="N45" s="125"/>
      <c r="O45" s="43" t="s">
        <v>91</v>
      </c>
      <c r="P45" s="114"/>
      <c r="Q45" s="110" t="s">
        <v>58</v>
      </c>
      <c r="R45" s="111">
        <f>+R43-R44</f>
        <v>2922</v>
      </c>
      <c r="S45" s="109"/>
      <c r="T45" s="5"/>
      <c r="U45" s="58"/>
      <c r="V45" s="59"/>
      <c r="W45" s="62"/>
      <c r="X45" s="60"/>
    </row>
    <row r="46" spans="8:24">
      <c r="P46" s="19"/>
      <c r="U46" s="64"/>
      <c r="V46" s="59"/>
      <c r="W46" s="60"/>
      <c r="X46" s="68"/>
    </row>
    <row r="47" spans="8:24">
      <c r="I47" s="123" t="s">
        <v>86</v>
      </c>
      <c r="P47" s="19"/>
      <c r="U47" s="58"/>
      <c r="V47" s="66"/>
      <c r="W47" s="67"/>
      <c r="X47" s="69"/>
    </row>
    <row r="48" spans="8:24">
      <c r="I48" s="123" t="s">
        <v>87</v>
      </c>
      <c r="P48" s="19"/>
      <c r="U48" s="60"/>
      <c r="V48" s="59"/>
      <c r="W48" s="60"/>
      <c r="X48" s="60"/>
    </row>
    <row r="49" spans="9:24">
      <c r="I49" s="123" t="s">
        <v>88</v>
      </c>
      <c r="P49" s="19"/>
      <c r="U49" s="60"/>
      <c r="V49" s="59"/>
      <c r="W49" s="60"/>
      <c r="X49" s="60"/>
    </row>
    <row r="50" spans="9:24">
      <c r="I50" s="123" t="s">
        <v>89</v>
      </c>
      <c r="P50" s="19"/>
      <c r="U50" s="60"/>
      <c r="V50" s="59"/>
      <c r="W50" s="60"/>
      <c r="X50" s="60"/>
    </row>
    <row r="51" spans="9:24">
      <c r="I51" s="123" t="s">
        <v>90</v>
      </c>
      <c r="P51" s="19"/>
      <c r="U51" s="60"/>
      <c r="V51" s="59"/>
      <c r="W51" s="60"/>
      <c r="X51" s="60"/>
    </row>
    <row r="52" spans="9:24">
      <c r="U52" s="60"/>
      <c r="V52" s="59"/>
      <c r="W52" s="60"/>
      <c r="X52" s="60"/>
    </row>
    <row r="53" spans="9:24">
      <c r="P53" s="19"/>
      <c r="U53" s="60"/>
      <c r="V53" s="59"/>
      <c r="W53" s="60"/>
      <c r="X53" s="60"/>
    </row>
    <row r="54" spans="9:24">
      <c r="P54" s="19"/>
      <c r="U54" s="60"/>
      <c r="V54" s="59"/>
      <c r="W54" s="60"/>
      <c r="X54" s="60"/>
    </row>
    <row r="55" spans="9:24">
      <c r="P55" s="19"/>
      <c r="U55" s="60"/>
      <c r="V55" s="59"/>
      <c r="W55" s="60"/>
      <c r="X55" s="60"/>
    </row>
  </sheetData>
  <sortState ref="H5:T42">
    <sortCondition ref="J5:J42"/>
  </sortState>
  <mergeCells count="4">
    <mergeCell ref="I2:R2"/>
    <mergeCell ref="K3:N3"/>
    <mergeCell ref="O3:P3"/>
    <mergeCell ref="T3:V3"/>
  </mergeCells>
  <conditionalFormatting sqref="R5">
    <cfRule type="cellIs" dxfId="12" priority="8" operator="lessThanOrEqual">
      <formula>0</formula>
    </cfRule>
  </conditionalFormatting>
  <conditionalFormatting sqref="R24:R27 R31:R39 R22 R5:R8 R10:R20">
    <cfRule type="cellIs" dxfId="11" priority="7" operator="greaterThan">
      <formula>0</formula>
    </cfRule>
  </conditionalFormatting>
  <conditionalFormatting sqref="R23 R28:R30">
    <cfRule type="cellIs" dxfId="10" priority="6" operator="greaterThan">
      <formula>0</formula>
    </cfRule>
  </conditionalFormatting>
  <conditionalFormatting sqref="R42">
    <cfRule type="cellIs" dxfId="9" priority="5" operator="greaterThan">
      <formula>0</formula>
    </cfRule>
  </conditionalFormatting>
  <conditionalFormatting sqref="R41">
    <cfRule type="cellIs" dxfId="8" priority="4" operator="greaterThan">
      <formula>0</formula>
    </cfRule>
  </conditionalFormatting>
  <conditionalFormatting sqref="R9">
    <cfRule type="cellIs" dxfId="7" priority="3" operator="greaterThan">
      <formula>0</formula>
    </cfRule>
  </conditionalFormatting>
  <conditionalFormatting sqref="R21">
    <cfRule type="cellIs" dxfId="6" priority="2" operator="greaterThan">
      <formula>0</formula>
    </cfRule>
  </conditionalFormatting>
  <conditionalFormatting sqref="R16">
    <cfRule type="cellIs" dxfId="5" priority="1" operator="greaterThan">
      <formula>0</formula>
    </cfRule>
  </conditionalFormatting>
  <printOptions horizontalCentered="1"/>
  <pageMargins left="0" right="0" top="0.51181102362204722" bottom="0" header="0" footer="0"/>
  <pageSetup paperSize="9" scale="8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55"/>
  <sheetViews>
    <sheetView zoomScale="80" zoomScaleNormal="8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36" sqref="A36"/>
    </sheetView>
  </sheetViews>
  <sheetFormatPr baseColWidth="10" defaultRowHeight="15"/>
  <cols>
    <col min="1" max="1" width="5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7.28515625" customWidth="1"/>
    <col min="9" max="9" width="8.7109375" customWidth="1"/>
    <col min="10" max="10" width="24.140625" customWidth="1"/>
    <col min="11" max="12" width="4.7109375" customWidth="1"/>
    <col min="13" max="13" width="7" bestFit="1" customWidth="1"/>
    <col min="14" max="14" width="11.28515625" customWidth="1"/>
    <col min="15" max="15" width="7" bestFit="1" customWidth="1"/>
    <col min="16" max="16" width="11.42578125" customWidth="1"/>
    <col min="17" max="17" width="10.85546875" customWidth="1"/>
    <col min="18" max="18" width="13.85546875" customWidth="1"/>
    <col min="19" max="19" width="7.42578125" style="103" bestFit="1" customWidth="1"/>
    <col min="20" max="20" width="2.7109375" customWidth="1"/>
    <col min="21" max="21" width="13.28515625" customWidth="1"/>
    <col min="22" max="22" width="11.5703125" style="46" customWidth="1"/>
    <col min="23" max="23" width="10.7109375" customWidth="1"/>
    <col min="24" max="24" width="20.7109375" customWidth="1"/>
  </cols>
  <sheetData>
    <row r="1" spans="8:24" ht="5.0999999999999996" customHeight="1"/>
    <row r="2" spans="8:24">
      <c r="H2" s="83"/>
      <c r="I2" s="439" t="s">
        <v>95</v>
      </c>
      <c r="J2" s="439"/>
      <c r="K2" s="439"/>
      <c r="L2" s="439"/>
      <c r="M2" s="439"/>
      <c r="N2" s="439"/>
      <c r="O2" s="439"/>
      <c r="P2" s="439"/>
      <c r="Q2" s="439"/>
      <c r="R2" s="439"/>
      <c r="S2" s="104"/>
      <c r="T2" s="83"/>
      <c r="U2" s="85"/>
      <c r="V2" s="83"/>
    </row>
    <row r="3" spans="8:24">
      <c r="H3" s="83"/>
      <c r="I3" s="84"/>
      <c r="J3" s="84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</row>
    <row r="4" spans="8:24" ht="34.5">
      <c r="H4" s="83"/>
      <c r="I4" s="86" t="s">
        <v>7</v>
      </c>
      <c r="J4" s="86" t="s">
        <v>3</v>
      </c>
      <c r="K4" s="97"/>
      <c r="L4" s="98"/>
      <c r="M4" s="127" t="s">
        <v>15</v>
      </c>
      <c r="N4" s="127" t="s">
        <v>94</v>
      </c>
      <c r="O4" s="87" t="s">
        <v>15</v>
      </c>
      <c r="P4" s="87" t="s">
        <v>96</v>
      </c>
      <c r="Q4" s="99" t="s">
        <v>97</v>
      </c>
      <c r="R4" s="88" t="s">
        <v>99</v>
      </c>
      <c r="S4" s="139" t="s">
        <v>98</v>
      </c>
      <c r="T4" s="89"/>
      <c r="U4" s="83"/>
      <c r="V4" s="83"/>
    </row>
    <row r="5" spans="8:24">
      <c r="H5" s="83"/>
      <c r="I5" s="7" t="s">
        <v>69</v>
      </c>
      <c r="J5" s="79" t="s">
        <v>70</v>
      </c>
      <c r="K5" s="8"/>
      <c r="L5" s="48">
        <f>+K5*3</f>
        <v>0</v>
      </c>
      <c r="M5" s="128"/>
      <c r="N5" s="129">
        <f>3*M5</f>
        <v>0</v>
      </c>
      <c r="O5" s="72"/>
      <c r="P5" s="73"/>
      <c r="Q5" s="52"/>
      <c r="R5" s="53">
        <f t="shared" ref="R5:R42" si="0">+L5+N5+P5+Q5</f>
        <v>0</v>
      </c>
      <c r="S5" s="106"/>
      <c r="T5" s="5"/>
      <c r="U5" s="92">
        <v>828</v>
      </c>
      <c r="V5" s="93">
        <v>107.64</v>
      </c>
      <c r="W5" s="94">
        <v>720.36</v>
      </c>
      <c r="X5" s="70" t="s">
        <v>36</v>
      </c>
    </row>
    <row r="6" spans="8:24">
      <c r="H6" s="83"/>
      <c r="I6" s="25" t="s">
        <v>1</v>
      </c>
      <c r="J6" s="81" t="s">
        <v>38</v>
      </c>
      <c r="K6" s="29"/>
      <c r="L6" s="55">
        <f>+K6*3</f>
        <v>0</v>
      </c>
      <c r="M6" s="128"/>
      <c r="N6" s="130">
        <f>3*M6</f>
        <v>0</v>
      </c>
      <c r="O6" s="74">
        <v>29</v>
      </c>
      <c r="P6" s="75">
        <f>IF(O6&gt;25,150,(O6)*6)</f>
        <v>150</v>
      </c>
      <c r="Q6" s="50"/>
      <c r="R6" s="9">
        <f t="shared" si="0"/>
        <v>150</v>
      </c>
      <c r="S6" s="107"/>
      <c r="T6" s="5"/>
      <c r="U6" s="30">
        <f>+V6+W6</f>
        <v>827.58620689655174</v>
      </c>
      <c r="V6" s="71">
        <f>+V5*W6/W5</f>
        <v>107.58620689655173</v>
      </c>
      <c r="W6" s="31">
        <v>720</v>
      </c>
      <c r="X6" s="36"/>
    </row>
    <row r="7" spans="8:24">
      <c r="H7" s="83"/>
      <c r="I7" s="25" t="s">
        <v>2</v>
      </c>
      <c r="J7" s="81" t="s">
        <v>33</v>
      </c>
      <c r="K7" s="29"/>
      <c r="L7" s="55"/>
      <c r="M7" s="128"/>
      <c r="N7" s="130">
        <f>+M7*3</f>
        <v>0</v>
      </c>
      <c r="O7" s="74">
        <v>23</v>
      </c>
      <c r="P7" s="75">
        <f>IF(O7&gt;25,150,(O7)*6)</f>
        <v>138</v>
      </c>
      <c r="Q7" s="50"/>
      <c r="R7" s="9">
        <f t="shared" si="0"/>
        <v>138</v>
      </c>
      <c r="S7" s="138"/>
      <c r="T7" s="5"/>
      <c r="U7" s="32">
        <f>+U5-U6</f>
        <v>0.41379310344825626</v>
      </c>
      <c r="V7" s="47"/>
      <c r="W7" s="33"/>
      <c r="X7" s="4" t="s">
        <v>59</v>
      </c>
    </row>
    <row r="8" spans="8:24">
      <c r="H8" s="83"/>
      <c r="I8" s="25" t="s">
        <v>0</v>
      </c>
      <c r="J8" s="81" t="s">
        <v>75</v>
      </c>
      <c r="K8" s="29"/>
      <c r="L8" s="55">
        <f>+K8*5</f>
        <v>0</v>
      </c>
      <c r="M8" s="128"/>
      <c r="N8" s="130">
        <f>+M8*5</f>
        <v>0</v>
      </c>
      <c r="O8" s="74"/>
      <c r="P8" s="75">
        <v>0</v>
      </c>
      <c r="Q8" s="50"/>
      <c r="R8" s="9">
        <f t="shared" si="0"/>
        <v>0</v>
      </c>
      <c r="S8" s="107"/>
      <c r="T8" s="5"/>
      <c r="U8" s="34">
        <v>150</v>
      </c>
      <c r="V8" s="38">
        <f>+U8-U7</f>
        <v>149.58620689655174</v>
      </c>
      <c r="W8" s="39" t="s">
        <v>63</v>
      </c>
      <c r="X8" s="6">
        <f>150-V8</f>
        <v>0.41379310344825626</v>
      </c>
    </row>
    <row r="9" spans="8:24">
      <c r="H9" s="20" t="s">
        <v>50</v>
      </c>
      <c r="I9" s="21" t="s">
        <v>92</v>
      </c>
      <c r="J9" s="20" t="s">
        <v>93</v>
      </c>
      <c r="K9" s="22"/>
      <c r="L9" s="56">
        <f>+K9*5</f>
        <v>0</v>
      </c>
      <c r="M9" s="131"/>
      <c r="N9" s="132">
        <v>0</v>
      </c>
      <c r="O9" s="23">
        <v>25</v>
      </c>
      <c r="P9" s="24">
        <f>IF(O9&gt;25,150,(O9)*6)</f>
        <v>150</v>
      </c>
      <c r="Q9" s="51"/>
      <c r="R9" s="91">
        <f t="shared" si="0"/>
        <v>150</v>
      </c>
      <c r="S9" s="108"/>
      <c r="T9" s="5"/>
      <c r="U9" s="10"/>
      <c r="X9" s="37"/>
    </row>
    <row r="10" spans="8:24" ht="15" customHeight="1">
      <c r="H10" s="83"/>
      <c r="I10" s="126" t="s">
        <v>79</v>
      </c>
      <c r="J10" s="82" t="s">
        <v>80</v>
      </c>
      <c r="K10" s="8"/>
      <c r="L10" s="54">
        <f>+K10*3</f>
        <v>0</v>
      </c>
      <c r="M10" s="128"/>
      <c r="N10" s="130">
        <f>+M10*3</f>
        <v>0</v>
      </c>
      <c r="O10" s="76">
        <v>31</v>
      </c>
      <c r="P10" s="75">
        <f t="shared" ref="P10:P26" si="1">IF(O10&gt;25,150,(O10)*6)</f>
        <v>150</v>
      </c>
      <c r="Q10" s="50"/>
      <c r="R10" s="11">
        <f t="shared" si="0"/>
        <v>150</v>
      </c>
      <c r="S10" s="106"/>
      <c r="T10" s="5"/>
      <c r="U10" s="92">
        <v>856</v>
      </c>
      <c r="V10" s="93">
        <v>110.51</v>
      </c>
      <c r="W10" s="94">
        <v>745.49</v>
      </c>
      <c r="X10" s="70" t="s">
        <v>35</v>
      </c>
    </row>
    <row r="11" spans="8:24">
      <c r="H11" s="90"/>
      <c r="I11" s="25" t="s">
        <v>4</v>
      </c>
      <c r="J11" s="81" t="s">
        <v>18</v>
      </c>
      <c r="K11" s="29"/>
      <c r="L11" s="27"/>
      <c r="M11" s="128"/>
      <c r="N11" s="130">
        <v>0</v>
      </c>
      <c r="O11" s="28">
        <v>32</v>
      </c>
      <c r="P11" s="75">
        <f t="shared" si="1"/>
        <v>150</v>
      </c>
      <c r="Q11" s="49"/>
      <c r="R11" s="11">
        <f t="shared" si="0"/>
        <v>150</v>
      </c>
      <c r="S11" s="107"/>
      <c r="T11" s="5"/>
      <c r="U11" s="30">
        <f>+V11+W11</f>
        <v>826.7314115548163</v>
      </c>
      <c r="V11" s="71">
        <f>+V10*W11/W10</f>
        <v>106.73141155481629</v>
      </c>
      <c r="W11" s="31">
        <v>720</v>
      </c>
      <c r="X11" s="37"/>
    </row>
    <row r="12" spans="8:24">
      <c r="H12" s="95"/>
      <c r="I12" s="25" t="s">
        <v>41</v>
      </c>
      <c r="J12" s="81" t="s">
        <v>22</v>
      </c>
      <c r="K12" s="29"/>
      <c r="L12" s="27"/>
      <c r="M12" s="128"/>
      <c r="N12" s="130">
        <f>+M12*3</f>
        <v>0</v>
      </c>
      <c r="O12" s="28">
        <v>34</v>
      </c>
      <c r="P12" s="75">
        <f t="shared" si="1"/>
        <v>150</v>
      </c>
      <c r="Q12" s="49"/>
      <c r="R12" s="11">
        <f t="shared" si="0"/>
        <v>150</v>
      </c>
      <c r="S12" s="107"/>
      <c r="T12" s="5"/>
      <c r="U12" s="32">
        <f>+U10-U11</f>
        <v>29.268588445183696</v>
      </c>
      <c r="V12" s="47"/>
      <c r="W12" s="33"/>
      <c r="X12" s="4" t="s">
        <v>59</v>
      </c>
    </row>
    <row r="13" spans="8:24">
      <c r="H13" s="95"/>
      <c r="I13" s="25" t="s">
        <v>16</v>
      </c>
      <c r="J13" s="81" t="s">
        <v>19</v>
      </c>
      <c r="K13" s="29"/>
      <c r="L13" s="54">
        <f>+K13*3</f>
        <v>0</v>
      </c>
      <c r="M13" s="128"/>
      <c r="N13" s="130">
        <v>0</v>
      </c>
      <c r="O13" s="28">
        <v>26</v>
      </c>
      <c r="P13" s="75">
        <f t="shared" si="1"/>
        <v>150</v>
      </c>
      <c r="Q13" s="49"/>
      <c r="R13" s="11">
        <f t="shared" si="0"/>
        <v>150</v>
      </c>
      <c r="S13" s="106"/>
      <c r="T13" s="5"/>
      <c r="U13" s="34">
        <v>150</v>
      </c>
      <c r="V13" s="38">
        <f>+U13-U12</f>
        <v>120.7314115548163</v>
      </c>
      <c r="W13" s="39" t="s">
        <v>63</v>
      </c>
      <c r="X13" s="6">
        <f>150-V13</f>
        <v>29.268588445183696</v>
      </c>
    </row>
    <row r="14" spans="8:24">
      <c r="H14" s="95"/>
      <c r="I14" s="25" t="s">
        <v>12</v>
      </c>
      <c r="J14" s="81" t="s">
        <v>47</v>
      </c>
      <c r="K14" s="26"/>
      <c r="L14" s="54">
        <f>+K14*3</f>
        <v>0</v>
      </c>
      <c r="M14" s="128"/>
      <c r="N14" s="130">
        <f>3*M14</f>
        <v>0</v>
      </c>
      <c r="O14" s="28">
        <v>31</v>
      </c>
      <c r="P14" s="75">
        <f t="shared" si="1"/>
        <v>150</v>
      </c>
      <c r="Q14" s="49"/>
      <c r="R14" s="11">
        <f t="shared" si="0"/>
        <v>150</v>
      </c>
      <c r="S14" s="106"/>
      <c r="T14" s="5"/>
      <c r="U14" s="10"/>
      <c r="X14" s="37"/>
    </row>
    <row r="15" spans="8:24">
      <c r="H15" s="95"/>
      <c r="I15" s="25" t="s">
        <v>20</v>
      </c>
      <c r="J15" s="81" t="s">
        <v>21</v>
      </c>
      <c r="K15" s="29"/>
      <c r="L15" s="27"/>
      <c r="M15" s="128"/>
      <c r="N15" s="130">
        <f t="shared" ref="N15:N24" si="2">+M15*3</f>
        <v>0</v>
      </c>
      <c r="O15" s="28">
        <v>31</v>
      </c>
      <c r="P15" s="75">
        <f t="shared" si="1"/>
        <v>150</v>
      </c>
      <c r="Q15" s="49"/>
      <c r="R15" s="57">
        <f t="shared" si="0"/>
        <v>150</v>
      </c>
      <c r="S15" s="107"/>
      <c r="T15" s="5"/>
      <c r="U15" s="92">
        <f>644+150</f>
        <v>794</v>
      </c>
      <c r="V15" s="93">
        <v>0</v>
      </c>
      <c r="W15" s="101">
        <v>769.08</v>
      </c>
      <c r="X15" s="100" t="s">
        <v>21</v>
      </c>
    </row>
    <row r="16" spans="8:24">
      <c r="H16" s="95"/>
      <c r="I16" s="25" t="s">
        <v>6</v>
      </c>
      <c r="J16" s="81" t="s">
        <v>23</v>
      </c>
      <c r="K16" s="29"/>
      <c r="L16" s="27"/>
      <c r="M16" s="128"/>
      <c r="N16" s="130">
        <f t="shared" si="2"/>
        <v>0</v>
      </c>
      <c r="O16" s="28"/>
      <c r="P16" s="75">
        <f t="shared" si="1"/>
        <v>0</v>
      </c>
      <c r="Q16" s="49"/>
      <c r="R16" s="57">
        <f t="shared" si="0"/>
        <v>0</v>
      </c>
      <c r="S16" s="107"/>
      <c r="T16" s="5"/>
      <c r="U16" s="30">
        <f>+V16+W16</f>
        <v>720</v>
      </c>
      <c r="V16" s="71">
        <f>+V15*W16/W15</f>
        <v>0</v>
      </c>
      <c r="W16" s="31">
        <v>720</v>
      </c>
      <c r="X16" s="37"/>
    </row>
    <row r="17" spans="1:24">
      <c r="H17" s="95"/>
      <c r="I17" s="25" t="s">
        <v>5</v>
      </c>
      <c r="J17" s="81" t="s">
        <v>24</v>
      </c>
      <c r="K17" s="26"/>
      <c r="L17" s="27"/>
      <c r="M17" s="128"/>
      <c r="N17" s="130">
        <f t="shared" si="2"/>
        <v>0</v>
      </c>
      <c r="O17" s="74">
        <v>37</v>
      </c>
      <c r="P17" s="75">
        <f t="shared" si="1"/>
        <v>150</v>
      </c>
      <c r="Q17" s="49"/>
      <c r="R17" s="11">
        <f t="shared" si="0"/>
        <v>150</v>
      </c>
      <c r="S17" s="138"/>
      <c r="T17" s="5"/>
      <c r="U17" s="32">
        <f>+U15-U16</f>
        <v>74</v>
      </c>
      <c r="V17" s="47"/>
      <c r="W17" s="33"/>
      <c r="X17" s="4" t="s">
        <v>59</v>
      </c>
    </row>
    <row r="18" spans="1:24">
      <c r="H18" s="95"/>
      <c r="I18" s="25" t="s">
        <v>25</v>
      </c>
      <c r="J18" s="81" t="s">
        <v>26</v>
      </c>
      <c r="K18" s="26"/>
      <c r="L18" s="27"/>
      <c r="M18" s="128"/>
      <c r="N18" s="130">
        <f t="shared" si="2"/>
        <v>0</v>
      </c>
      <c r="O18" s="28"/>
      <c r="P18" s="75">
        <f t="shared" si="1"/>
        <v>0</v>
      </c>
      <c r="Q18" s="49"/>
      <c r="R18" s="11">
        <f t="shared" si="0"/>
        <v>0</v>
      </c>
      <c r="S18" s="107"/>
      <c r="T18" s="5"/>
      <c r="U18" s="34">
        <v>150</v>
      </c>
      <c r="V18" s="38">
        <f>+U18-U17</f>
        <v>76</v>
      </c>
      <c r="W18" s="39" t="s">
        <v>63</v>
      </c>
      <c r="X18" s="6">
        <f>150-V18</f>
        <v>74</v>
      </c>
    </row>
    <row r="19" spans="1:24">
      <c r="H19" s="95"/>
      <c r="I19" s="25" t="s">
        <v>42</v>
      </c>
      <c r="J19" s="81" t="s">
        <v>43</v>
      </c>
      <c r="K19" s="26"/>
      <c r="L19" s="27"/>
      <c r="M19" s="128"/>
      <c r="N19" s="130">
        <f t="shared" si="2"/>
        <v>0</v>
      </c>
      <c r="O19" s="28"/>
      <c r="P19" s="75">
        <f t="shared" si="1"/>
        <v>0</v>
      </c>
      <c r="Q19" s="49"/>
      <c r="R19" s="11">
        <f t="shared" si="0"/>
        <v>0</v>
      </c>
      <c r="S19" s="107"/>
      <c r="T19" s="5"/>
      <c r="U19" s="10"/>
      <c r="X19" s="37"/>
    </row>
    <row r="20" spans="1:24">
      <c r="H20" s="90"/>
      <c r="I20" s="25" t="s">
        <v>8</v>
      </c>
      <c r="J20" s="81" t="s">
        <v>27</v>
      </c>
      <c r="K20" s="29"/>
      <c r="L20" s="27"/>
      <c r="M20" s="128"/>
      <c r="N20" s="130">
        <f t="shared" si="2"/>
        <v>0</v>
      </c>
      <c r="O20" s="28"/>
      <c r="P20" s="75">
        <f t="shared" si="1"/>
        <v>0</v>
      </c>
      <c r="Q20" s="49"/>
      <c r="R20" s="57">
        <f t="shared" si="0"/>
        <v>0</v>
      </c>
      <c r="S20" s="107"/>
      <c r="T20" s="5"/>
      <c r="U20" s="58"/>
      <c r="V20" s="59"/>
      <c r="W20" s="60"/>
      <c r="X20" s="61"/>
    </row>
    <row r="21" spans="1:24">
      <c r="H21" s="20" t="s">
        <v>50</v>
      </c>
      <c r="I21" s="21" t="s">
        <v>13</v>
      </c>
      <c r="J21" s="20" t="s">
        <v>72</v>
      </c>
      <c r="K21" s="22"/>
      <c r="L21" s="56">
        <f>+K21*3</f>
        <v>0</v>
      </c>
      <c r="M21" s="131"/>
      <c r="N21" s="132">
        <v>0</v>
      </c>
      <c r="O21" s="23"/>
      <c r="P21" s="24">
        <f t="shared" si="1"/>
        <v>0</v>
      </c>
      <c r="Q21" s="51"/>
      <c r="R21" s="24">
        <f t="shared" si="0"/>
        <v>0</v>
      </c>
      <c r="S21" s="108"/>
      <c r="T21" s="5"/>
      <c r="U21" s="58"/>
      <c r="V21" s="59"/>
      <c r="W21" s="60"/>
      <c r="X21" s="63"/>
    </row>
    <row r="22" spans="1:24">
      <c r="H22" s="83"/>
      <c r="I22" s="25" t="s">
        <v>28</v>
      </c>
      <c r="J22" s="81" t="s">
        <v>29</v>
      </c>
      <c r="K22" s="29"/>
      <c r="L22" s="55"/>
      <c r="M22" s="128"/>
      <c r="N22" s="130">
        <f t="shared" si="2"/>
        <v>0</v>
      </c>
      <c r="O22" s="74">
        <v>35</v>
      </c>
      <c r="P22" s="75">
        <f t="shared" si="1"/>
        <v>150</v>
      </c>
      <c r="Q22" s="50"/>
      <c r="R22" s="9">
        <f t="shared" si="0"/>
        <v>150</v>
      </c>
      <c r="S22" s="107"/>
      <c r="T22" s="5"/>
      <c r="U22" s="64"/>
      <c r="V22" s="59"/>
      <c r="W22" s="60"/>
      <c r="X22" s="65"/>
    </row>
    <row r="23" spans="1:24">
      <c r="H23" s="83"/>
      <c r="I23" s="25" t="s">
        <v>17</v>
      </c>
      <c r="J23" s="96" t="s">
        <v>34</v>
      </c>
      <c r="K23" s="35"/>
      <c r="L23" s="55">
        <f>+K23*3</f>
        <v>0</v>
      </c>
      <c r="M23" s="128"/>
      <c r="N23" s="130">
        <f t="shared" si="2"/>
        <v>0</v>
      </c>
      <c r="O23" s="74">
        <v>32</v>
      </c>
      <c r="P23" s="75">
        <f t="shared" si="1"/>
        <v>150</v>
      </c>
      <c r="Q23" s="112"/>
      <c r="R23" s="11">
        <f>+L23+N23+P23+Q23</f>
        <v>150</v>
      </c>
      <c r="S23" s="107"/>
      <c r="T23" s="5"/>
      <c r="U23" s="58"/>
      <c r="V23" s="66"/>
      <c r="W23" s="60"/>
      <c r="X23" s="66"/>
    </row>
    <row r="24" spans="1:24">
      <c r="H24" s="83"/>
      <c r="I24" s="25" t="s">
        <v>44</v>
      </c>
      <c r="J24" s="96" t="s">
        <v>74</v>
      </c>
      <c r="K24" s="29"/>
      <c r="L24" s="55">
        <v>0</v>
      </c>
      <c r="M24" s="128"/>
      <c r="N24" s="130">
        <f t="shared" si="2"/>
        <v>0</v>
      </c>
      <c r="O24" s="113"/>
      <c r="P24" s="75">
        <f t="shared" si="1"/>
        <v>0</v>
      </c>
      <c r="Q24" s="49"/>
      <c r="R24" s="11">
        <f t="shared" si="0"/>
        <v>0</v>
      </c>
      <c r="S24" s="107"/>
      <c r="T24" s="5"/>
      <c r="U24" s="58"/>
      <c r="V24" s="59"/>
      <c r="W24" s="60"/>
      <c r="X24" s="65"/>
    </row>
    <row r="25" spans="1:24">
      <c r="H25" s="83"/>
      <c r="I25" s="25" t="s">
        <v>14</v>
      </c>
      <c r="J25" s="96" t="s">
        <v>67</v>
      </c>
      <c r="K25" s="29"/>
      <c r="L25" s="55">
        <v>0</v>
      </c>
      <c r="M25" s="128"/>
      <c r="N25" s="130">
        <v>0</v>
      </c>
      <c r="O25" s="74">
        <v>25</v>
      </c>
      <c r="P25" s="75">
        <f t="shared" si="1"/>
        <v>150</v>
      </c>
      <c r="Q25" s="49"/>
      <c r="R25" s="11">
        <f t="shared" si="0"/>
        <v>150</v>
      </c>
      <c r="S25" s="107"/>
      <c r="T25" s="5"/>
      <c r="U25" s="58"/>
      <c r="V25" s="59"/>
      <c r="W25" s="60"/>
      <c r="X25" s="61"/>
    </row>
    <row r="26" spans="1:24">
      <c r="H26" s="83"/>
      <c r="I26" s="25" t="s">
        <v>30</v>
      </c>
      <c r="J26" s="81" t="s">
        <v>73</v>
      </c>
      <c r="K26" s="29"/>
      <c r="L26" s="55">
        <v>0</v>
      </c>
      <c r="M26" s="128"/>
      <c r="N26" s="130">
        <f>+M26*3</f>
        <v>0</v>
      </c>
      <c r="O26" s="28"/>
      <c r="P26" s="11">
        <f t="shared" si="1"/>
        <v>0</v>
      </c>
      <c r="Q26" s="49"/>
      <c r="R26" s="11">
        <f>+L26+N26+P26+Q26</f>
        <v>0</v>
      </c>
      <c r="S26" s="107"/>
      <c r="T26" s="5"/>
      <c r="U26" s="58"/>
      <c r="V26" s="59"/>
      <c r="W26" s="60"/>
      <c r="X26" s="61"/>
    </row>
    <row r="27" spans="1:24">
      <c r="H27" s="83"/>
      <c r="I27" s="25" t="s">
        <v>31</v>
      </c>
      <c r="J27" s="81" t="s">
        <v>32</v>
      </c>
      <c r="K27" s="29"/>
      <c r="L27" s="55">
        <f>+K27*3</f>
        <v>0</v>
      </c>
      <c r="M27" s="128"/>
      <c r="N27" s="130">
        <v>0</v>
      </c>
      <c r="O27" s="74">
        <v>10</v>
      </c>
      <c r="P27" s="75">
        <f>IF(O27&gt;25,150,(O27)*6)</f>
        <v>60</v>
      </c>
      <c r="Q27" s="49"/>
      <c r="R27" s="11">
        <f t="shared" si="0"/>
        <v>60</v>
      </c>
      <c r="S27" s="107"/>
      <c r="T27" s="5"/>
      <c r="U27" s="64"/>
      <c r="V27" s="59"/>
      <c r="W27" s="60"/>
      <c r="X27" s="61"/>
    </row>
    <row r="28" spans="1:24">
      <c r="A28" s="4"/>
      <c r="B28" s="4"/>
      <c r="C28" s="4"/>
      <c r="D28" s="3"/>
      <c r="E28" s="4"/>
      <c r="F28" s="40"/>
      <c r="G28" s="4"/>
      <c r="H28" s="83"/>
      <c r="I28" s="25" t="s">
        <v>9</v>
      </c>
      <c r="J28" s="96" t="s">
        <v>68</v>
      </c>
      <c r="K28" s="35"/>
      <c r="L28" s="55">
        <f>+K28*3</f>
        <v>0</v>
      </c>
      <c r="M28" s="128"/>
      <c r="N28" s="130">
        <f>+M28*3</f>
        <v>0</v>
      </c>
      <c r="O28" s="74">
        <v>1</v>
      </c>
      <c r="P28" s="75">
        <f>IF(O28&gt;25,150,(O28)*6)</f>
        <v>6</v>
      </c>
      <c r="Q28" s="112"/>
      <c r="R28" s="11">
        <f t="shared" si="0"/>
        <v>6</v>
      </c>
      <c r="S28" s="107"/>
      <c r="T28" s="5"/>
      <c r="U28" s="58"/>
      <c r="V28" s="59"/>
      <c r="W28" s="60"/>
      <c r="X28" s="61"/>
    </row>
    <row r="29" spans="1:24">
      <c r="H29" s="83"/>
      <c r="I29" s="25" t="s">
        <v>10</v>
      </c>
      <c r="J29" s="96" t="s">
        <v>66</v>
      </c>
      <c r="K29" s="35"/>
      <c r="L29" s="55">
        <f>+K29*3</f>
        <v>0</v>
      </c>
      <c r="M29" s="128"/>
      <c r="N29" s="130">
        <f>5*M29</f>
        <v>0</v>
      </c>
      <c r="O29" s="74"/>
      <c r="P29" s="75">
        <f t="shared" ref="P29:P42" si="3">IF(O29&gt;25,150,(O29)*6)</f>
        <v>0</v>
      </c>
      <c r="Q29" s="112"/>
      <c r="R29" s="11">
        <f t="shared" si="0"/>
        <v>0</v>
      </c>
      <c r="S29" s="107"/>
      <c r="T29" s="5"/>
      <c r="U29" s="58"/>
      <c r="V29" s="59"/>
      <c r="W29" s="60"/>
      <c r="X29" s="61"/>
    </row>
    <row r="30" spans="1:24">
      <c r="H30" s="83"/>
      <c r="I30" s="25" t="s">
        <v>11</v>
      </c>
      <c r="J30" s="96" t="s">
        <v>55</v>
      </c>
      <c r="K30" s="35"/>
      <c r="L30" s="55">
        <f>+K30*3</f>
        <v>0</v>
      </c>
      <c r="M30" s="128"/>
      <c r="N30" s="130">
        <f>+M30*3</f>
        <v>0</v>
      </c>
      <c r="O30" s="74">
        <v>25</v>
      </c>
      <c r="P30" s="75">
        <f t="shared" si="3"/>
        <v>150</v>
      </c>
      <c r="Q30" s="112"/>
      <c r="R30" s="11">
        <f t="shared" si="0"/>
        <v>150</v>
      </c>
      <c r="S30" s="107"/>
      <c r="T30" s="5"/>
      <c r="U30" s="58"/>
      <c r="V30" s="59"/>
      <c r="W30" s="60"/>
      <c r="X30" s="61"/>
    </row>
    <row r="31" spans="1:24">
      <c r="H31" s="83"/>
      <c r="I31" s="25" t="s">
        <v>48</v>
      </c>
      <c r="J31" s="81" t="s">
        <v>49</v>
      </c>
      <c r="K31" s="26"/>
      <c r="L31" s="55"/>
      <c r="M31" s="128"/>
      <c r="N31" s="130">
        <f>+M31*3</f>
        <v>0</v>
      </c>
      <c r="O31" s="74"/>
      <c r="P31" s="75">
        <f t="shared" si="3"/>
        <v>0</v>
      </c>
      <c r="Q31" s="49"/>
      <c r="R31" s="11">
        <f t="shared" si="0"/>
        <v>0</v>
      </c>
      <c r="S31" s="107"/>
      <c r="T31" s="5"/>
      <c r="U31" s="58"/>
      <c r="V31" s="59"/>
      <c r="W31" s="60"/>
      <c r="X31" s="65"/>
    </row>
    <row r="32" spans="1:24" s="4" customFormat="1">
      <c r="A32"/>
      <c r="B32"/>
      <c r="C32"/>
      <c r="D32" s="1"/>
      <c r="E32"/>
      <c r="F32" s="2"/>
      <c r="G32"/>
      <c r="H32" s="83"/>
      <c r="I32" s="25" t="s">
        <v>60</v>
      </c>
      <c r="J32" s="81" t="s">
        <v>37</v>
      </c>
      <c r="K32" s="26"/>
      <c r="L32" s="55"/>
      <c r="M32" s="128"/>
      <c r="N32" s="130">
        <v>0</v>
      </c>
      <c r="O32" s="74"/>
      <c r="P32" s="75">
        <f t="shared" si="3"/>
        <v>0</v>
      </c>
      <c r="Q32" s="49"/>
      <c r="R32" s="11">
        <f t="shared" si="0"/>
        <v>0</v>
      </c>
      <c r="S32" s="107"/>
      <c r="T32" s="5"/>
      <c r="U32" s="64"/>
      <c r="V32" s="59"/>
      <c r="W32" s="60"/>
      <c r="X32" s="68"/>
    </row>
    <row r="33" spans="8:24">
      <c r="H33" s="83"/>
      <c r="I33" s="25" t="s">
        <v>45</v>
      </c>
      <c r="J33" s="81" t="s">
        <v>46</v>
      </c>
      <c r="K33" s="26"/>
      <c r="L33" s="55">
        <v>0</v>
      </c>
      <c r="M33" s="128"/>
      <c r="N33" s="130">
        <f>+M33*3</f>
        <v>0</v>
      </c>
      <c r="O33" s="74">
        <v>29</v>
      </c>
      <c r="P33" s="75">
        <f t="shared" si="3"/>
        <v>150</v>
      </c>
      <c r="Q33" s="49"/>
      <c r="R33" s="11">
        <f t="shared" si="0"/>
        <v>150</v>
      </c>
      <c r="S33" s="107"/>
      <c r="T33" s="5"/>
      <c r="U33" s="58"/>
      <c r="V33" s="66"/>
      <c r="W33" s="67"/>
      <c r="X33" s="69"/>
    </row>
    <row r="34" spans="8:24">
      <c r="H34" s="83"/>
      <c r="I34" s="126" t="s">
        <v>51</v>
      </c>
      <c r="J34" s="82" t="s">
        <v>52</v>
      </c>
      <c r="K34" s="12"/>
      <c r="L34" s="54">
        <v>0</v>
      </c>
      <c r="M34" s="133"/>
      <c r="N34" s="130">
        <f>+M34*3</f>
        <v>0</v>
      </c>
      <c r="O34" s="76">
        <v>1</v>
      </c>
      <c r="P34" s="75">
        <f t="shared" si="3"/>
        <v>6</v>
      </c>
      <c r="Q34" s="49"/>
      <c r="R34" s="11">
        <f t="shared" si="0"/>
        <v>6</v>
      </c>
      <c r="S34" s="106"/>
      <c r="T34" s="5"/>
      <c r="U34" s="58"/>
      <c r="V34" s="59"/>
      <c r="W34" s="60"/>
      <c r="X34" s="65"/>
    </row>
    <row r="35" spans="8:24">
      <c r="H35" s="83"/>
      <c r="I35" s="126" t="s">
        <v>53</v>
      </c>
      <c r="J35" s="80" t="s">
        <v>54</v>
      </c>
      <c r="K35" s="8"/>
      <c r="L35" s="54">
        <v>0</v>
      </c>
      <c r="M35" s="133"/>
      <c r="N35" s="130">
        <v>0</v>
      </c>
      <c r="O35" s="76">
        <v>28</v>
      </c>
      <c r="P35" s="75">
        <f t="shared" si="3"/>
        <v>150</v>
      </c>
      <c r="Q35" s="50"/>
      <c r="R35" s="11">
        <f t="shared" si="0"/>
        <v>150</v>
      </c>
      <c r="S35" s="106"/>
      <c r="T35" s="5"/>
      <c r="U35" s="58"/>
      <c r="V35" s="59"/>
      <c r="W35" s="60"/>
      <c r="X35" s="61"/>
    </row>
    <row r="36" spans="8:24">
      <c r="H36" s="83"/>
      <c r="I36" s="126" t="s">
        <v>56</v>
      </c>
      <c r="J36" s="80" t="s">
        <v>57</v>
      </c>
      <c r="K36" s="8"/>
      <c r="L36" s="54">
        <v>0</v>
      </c>
      <c r="M36" s="133"/>
      <c r="N36" s="130">
        <f>M36*3</f>
        <v>0</v>
      </c>
      <c r="O36" s="76">
        <v>32</v>
      </c>
      <c r="P36" s="75">
        <f t="shared" si="3"/>
        <v>150</v>
      </c>
      <c r="Q36" s="50"/>
      <c r="R36" s="11">
        <f t="shared" si="0"/>
        <v>150</v>
      </c>
      <c r="S36" s="106"/>
      <c r="T36" s="5"/>
      <c r="U36" s="58"/>
      <c r="V36" s="59"/>
      <c r="W36" s="62"/>
      <c r="X36" s="63"/>
    </row>
    <row r="37" spans="8:24">
      <c r="H37" s="83"/>
      <c r="I37" s="126" t="s">
        <v>61</v>
      </c>
      <c r="J37" s="80" t="s">
        <v>62</v>
      </c>
      <c r="K37" s="8"/>
      <c r="L37" s="54">
        <v>0</v>
      </c>
      <c r="M37" s="133"/>
      <c r="N37" s="130">
        <f>3*M37:M37</f>
        <v>0</v>
      </c>
      <c r="O37" s="72"/>
      <c r="P37" s="75">
        <f t="shared" si="3"/>
        <v>0</v>
      </c>
      <c r="Q37" s="50"/>
      <c r="R37" s="11">
        <f t="shared" si="0"/>
        <v>0</v>
      </c>
      <c r="S37" s="106"/>
      <c r="T37" s="5"/>
      <c r="U37" s="58"/>
      <c r="V37" s="66"/>
      <c r="W37" s="67"/>
      <c r="X37" s="66"/>
    </row>
    <row r="38" spans="8:24">
      <c r="H38" s="83"/>
      <c r="I38" s="126" t="s">
        <v>64</v>
      </c>
      <c r="J38" s="80" t="s">
        <v>65</v>
      </c>
      <c r="K38" s="8"/>
      <c r="L38" s="54">
        <v>0</v>
      </c>
      <c r="M38" s="133"/>
      <c r="N38" s="130">
        <v>0</v>
      </c>
      <c r="O38" s="76">
        <v>38</v>
      </c>
      <c r="P38" s="75">
        <f t="shared" si="3"/>
        <v>150</v>
      </c>
      <c r="Q38" s="50"/>
      <c r="R38" s="11">
        <f t="shared" si="0"/>
        <v>150</v>
      </c>
      <c r="S38" s="106"/>
      <c r="T38" s="5"/>
      <c r="U38" s="58"/>
      <c r="V38" s="66"/>
      <c r="W38" s="67"/>
      <c r="X38" s="66"/>
    </row>
    <row r="39" spans="8:24">
      <c r="H39" s="83"/>
      <c r="I39" s="126" t="s">
        <v>71</v>
      </c>
      <c r="J39" s="80" t="s">
        <v>76</v>
      </c>
      <c r="K39" s="8"/>
      <c r="L39" s="54">
        <v>0</v>
      </c>
      <c r="M39" s="133"/>
      <c r="N39" s="130">
        <f>5*M39</f>
        <v>0</v>
      </c>
      <c r="O39" s="76">
        <v>22</v>
      </c>
      <c r="P39" s="75">
        <f t="shared" si="3"/>
        <v>132</v>
      </c>
      <c r="Q39" s="50"/>
      <c r="R39" s="11">
        <f t="shared" si="0"/>
        <v>132</v>
      </c>
      <c r="S39" s="106"/>
      <c r="T39" s="5"/>
      <c r="U39" s="58"/>
      <c r="V39" s="59"/>
      <c r="W39" s="60"/>
      <c r="X39" s="65"/>
    </row>
    <row r="40" spans="8:24">
      <c r="H40" s="20" t="s">
        <v>50</v>
      </c>
      <c r="I40" s="21" t="s">
        <v>77</v>
      </c>
      <c r="J40" s="20" t="s">
        <v>78</v>
      </c>
      <c r="K40" s="22"/>
      <c r="L40" s="56">
        <v>0</v>
      </c>
      <c r="M40" s="131"/>
      <c r="N40" s="132">
        <v>0</v>
      </c>
      <c r="O40" s="23"/>
      <c r="P40" s="24">
        <f t="shared" si="3"/>
        <v>0</v>
      </c>
      <c r="Q40" s="51"/>
      <c r="R40" s="24">
        <f t="shared" si="0"/>
        <v>0</v>
      </c>
      <c r="S40" s="108"/>
      <c r="T40" s="5"/>
      <c r="U40" s="58"/>
      <c r="V40" s="59"/>
      <c r="W40" s="60"/>
      <c r="X40" s="65"/>
    </row>
    <row r="41" spans="8:24">
      <c r="H41" s="83"/>
      <c r="I41" s="126" t="s">
        <v>82</v>
      </c>
      <c r="J41" s="80" t="s">
        <v>83</v>
      </c>
      <c r="K41" s="8"/>
      <c r="L41" s="54">
        <v>0</v>
      </c>
      <c r="M41" s="133"/>
      <c r="N41" s="130">
        <v>0</v>
      </c>
      <c r="O41" s="76"/>
      <c r="P41" s="75">
        <f t="shared" si="3"/>
        <v>0</v>
      </c>
      <c r="Q41" s="50"/>
      <c r="R41" s="11">
        <f t="shared" si="0"/>
        <v>0</v>
      </c>
      <c r="S41" s="106"/>
      <c r="T41" s="5"/>
      <c r="U41" s="58"/>
      <c r="V41" s="59"/>
      <c r="W41" s="60"/>
      <c r="X41" s="61"/>
    </row>
    <row r="42" spans="8:24">
      <c r="H42" s="115"/>
      <c r="I42" s="120" t="s">
        <v>84</v>
      </c>
      <c r="J42" s="121" t="s">
        <v>85</v>
      </c>
      <c r="K42" s="116"/>
      <c r="L42" s="117">
        <v>0</v>
      </c>
      <c r="M42" s="134"/>
      <c r="N42" s="135">
        <v>0</v>
      </c>
      <c r="O42" s="122">
        <v>24</v>
      </c>
      <c r="P42" s="15">
        <f t="shared" si="3"/>
        <v>144</v>
      </c>
      <c r="Q42" s="118"/>
      <c r="R42" s="124">
        <f t="shared" si="0"/>
        <v>144</v>
      </c>
      <c r="S42" s="119"/>
      <c r="T42" s="5"/>
      <c r="U42" s="58"/>
      <c r="V42" s="59"/>
      <c r="W42" s="60"/>
      <c r="X42" s="61"/>
    </row>
    <row r="43" spans="8:24">
      <c r="I43" s="13"/>
      <c r="J43" s="14"/>
      <c r="K43" s="17">
        <f t="shared" ref="K43:S43" si="4">SUM(K5:K42)</f>
        <v>0</v>
      </c>
      <c r="L43" s="18">
        <f t="shared" si="4"/>
        <v>0</v>
      </c>
      <c r="M43" s="136">
        <f t="shared" si="4"/>
        <v>0</v>
      </c>
      <c r="N43" s="137">
        <f t="shared" si="4"/>
        <v>0</v>
      </c>
      <c r="O43" s="77">
        <f t="shared" si="4"/>
        <v>601</v>
      </c>
      <c r="P43" s="78">
        <f t="shared" si="4"/>
        <v>3036</v>
      </c>
      <c r="Q43" s="16">
        <f t="shared" si="4"/>
        <v>0</v>
      </c>
      <c r="R43" s="78">
        <f t="shared" si="4"/>
        <v>3036</v>
      </c>
      <c r="S43" s="102">
        <f t="shared" si="4"/>
        <v>0</v>
      </c>
      <c r="T43" s="5"/>
      <c r="U43" s="58"/>
      <c r="V43" s="59"/>
      <c r="W43" s="60"/>
      <c r="X43" s="65"/>
    </row>
    <row r="44" spans="8:24">
      <c r="K44" s="41"/>
      <c r="M44" s="42"/>
      <c r="N44" s="41"/>
      <c r="O44" s="45" t="s">
        <v>81</v>
      </c>
      <c r="Q44" s="42"/>
      <c r="R44" s="45">
        <f>+R21+R40+R41+R9</f>
        <v>150</v>
      </c>
      <c r="T44" s="5"/>
      <c r="U44" s="58"/>
      <c r="V44" s="59"/>
      <c r="W44" s="62"/>
      <c r="X44" s="60"/>
    </row>
    <row r="45" spans="8:24">
      <c r="L45" s="43"/>
      <c r="M45" s="44"/>
      <c r="N45" s="125"/>
      <c r="O45" s="43" t="s">
        <v>91</v>
      </c>
      <c r="P45" s="114"/>
      <c r="Q45" s="110" t="s">
        <v>58</v>
      </c>
      <c r="R45" s="111">
        <f>+R43-R44</f>
        <v>2886</v>
      </c>
      <c r="S45" s="109"/>
      <c r="T45" s="5"/>
      <c r="U45" s="58"/>
      <c r="V45" s="59"/>
      <c r="W45" s="62"/>
      <c r="X45" s="60"/>
    </row>
    <row r="46" spans="8:24">
      <c r="P46" s="19"/>
      <c r="U46" s="64"/>
      <c r="V46" s="59"/>
      <c r="W46" s="60"/>
      <c r="X46" s="68"/>
    </row>
    <row r="47" spans="8:24">
      <c r="I47" s="123" t="s">
        <v>86</v>
      </c>
      <c r="P47" s="19"/>
      <c r="U47" s="58"/>
      <c r="V47" s="66"/>
      <c r="W47" s="67"/>
      <c r="X47" s="69"/>
    </row>
    <row r="48" spans="8:24">
      <c r="I48" s="123" t="s">
        <v>87</v>
      </c>
      <c r="P48" s="19"/>
      <c r="U48" s="60"/>
      <c r="V48" s="59"/>
      <c r="W48" s="60"/>
      <c r="X48" s="60"/>
    </row>
    <row r="49" spans="9:24">
      <c r="I49" s="123" t="s">
        <v>88</v>
      </c>
      <c r="P49" s="19"/>
      <c r="U49" s="60"/>
      <c r="V49" s="59"/>
      <c r="W49" s="60"/>
      <c r="X49" s="60"/>
    </row>
    <row r="50" spans="9:24">
      <c r="I50" s="123" t="s">
        <v>89</v>
      </c>
      <c r="P50" s="19"/>
      <c r="U50" s="60"/>
      <c r="V50" s="59"/>
      <c r="W50" s="60"/>
      <c r="X50" s="60"/>
    </row>
    <row r="51" spans="9:24">
      <c r="I51" s="123" t="s">
        <v>90</v>
      </c>
      <c r="P51" s="19"/>
      <c r="U51" s="60"/>
      <c r="V51" s="59"/>
      <c r="W51" s="60"/>
      <c r="X51" s="60"/>
    </row>
    <row r="52" spans="9:24">
      <c r="U52" s="60"/>
      <c r="V52" s="59"/>
      <c r="W52" s="60"/>
      <c r="X52" s="60"/>
    </row>
    <row r="53" spans="9:24">
      <c r="P53" s="19"/>
      <c r="U53" s="60"/>
      <c r="V53" s="59"/>
      <c r="W53" s="60"/>
      <c r="X53" s="60"/>
    </row>
    <row r="54" spans="9:24">
      <c r="P54" s="19"/>
      <c r="U54" s="60"/>
      <c r="V54" s="59"/>
      <c r="W54" s="60"/>
      <c r="X54" s="60"/>
    </row>
    <row r="55" spans="9:24">
      <c r="P55" s="19"/>
      <c r="U55" s="60"/>
      <c r="V55" s="59"/>
      <c r="W55" s="60"/>
      <c r="X55" s="60"/>
    </row>
  </sheetData>
  <mergeCells count="4">
    <mergeCell ref="I2:R2"/>
    <mergeCell ref="K3:N3"/>
    <mergeCell ref="O3:P3"/>
    <mergeCell ref="T3:V3"/>
  </mergeCells>
  <conditionalFormatting sqref="R5">
    <cfRule type="cellIs" dxfId="4" priority="5" operator="lessThanOrEqual">
      <formula>0</formula>
    </cfRule>
  </conditionalFormatting>
  <conditionalFormatting sqref="R24:R27 R31:R39 R22 R5:R8 R10:R20">
    <cfRule type="cellIs" dxfId="3" priority="4" operator="greaterThan">
      <formula>0</formula>
    </cfRule>
  </conditionalFormatting>
  <conditionalFormatting sqref="R23 R28:R30">
    <cfRule type="cellIs" dxfId="2" priority="3" operator="greaterThan">
      <formula>0</formula>
    </cfRule>
  </conditionalFormatting>
  <conditionalFormatting sqref="R42">
    <cfRule type="cellIs" dxfId="1" priority="2" operator="greaterThan">
      <formula>0</formula>
    </cfRule>
  </conditionalFormatting>
  <conditionalFormatting sqref="R41">
    <cfRule type="cellIs" dxfId="0" priority="1" operator="greaterThan">
      <formula>0</formula>
    </cfRule>
  </conditionalFormatting>
  <printOptions horizontalCentered="1"/>
  <pageMargins left="0" right="0" top="0.51181102362204722" bottom="0" header="0" footer="0"/>
  <pageSetup paperSize="9" scale="85" orientation="portrait" r:id="rId1"/>
  <ignoredErrors>
    <ignoredError sqref="N29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67"/>
  <sheetViews>
    <sheetView zoomScale="85" zoomScaleNormal="85" workbookViewId="0">
      <pane xSplit="10" ySplit="3" topLeftCell="K4" activePane="bottomRight" state="frozen"/>
      <selection pane="topRight" activeCell="K1" sqref="K1"/>
      <selection pane="bottomLeft" activeCell="A5" sqref="A5"/>
      <selection pane="bottomRight" activeCell="K4" sqref="K4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5.140625" customWidth="1"/>
    <col min="9" max="9" width="7.42578125" customWidth="1"/>
    <col min="10" max="10" width="28.140625" customWidth="1"/>
    <col min="11" max="11" width="1.7109375" customWidth="1"/>
    <col min="12" max="12" width="1.5703125" customWidth="1"/>
    <col min="13" max="13" width="5.7109375" customWidth="1"/>
    <col min="14" max="14" width="7.7109375" customWidth="1"/>
    <col min="15" max="15" width="6.85546875" customWidth="1"/>
    <col min="16" max="16" width="12.140625" customWidth="1"/>
    <col min="17" max="17" width="7.28515625" customWidth="1"/>
    <col min="18" max="18" width="15.7109375" customWidth="1"/>
    <col min="19" max="19" width="3.7109375" style="103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 ht="14.1" customHeight="1">
      <c r="H2" s="83"/>
      <c r="I2" s="429" t="s">
        <v>477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430">
        <f ca="1">+TODAY()</f>
        <v>43825</v>
      </c>
      <c r="U2" s="431"/>
      <c r="V2" s="431"/>
    </row>
    <row r="3" spans="8:29" ht="36.950000000000003" customHeight="1">
      <c r="H3" s="83" t="s">
        <v>143</v>
      </c>
      <c r="I3" s="268" t="s">
        <v>249</v>
      </c>
      <c r="J3" s="267" t="s">
        <v>248</v>
      </c>
      <c r="K3" s="225" t="s">
        <v>15</v>
      </c>
      <c r="L3" s="225" t="s">
        <v>208</v>
      </c>
      <c r="M3" s="378" t="s">
        <v>15</v>
      </c>
      <c r="N3" s="378" t="s">
        <v>478</v>
      </c>
      <c r="O3" s="87" t="s">
        <v>15</v>
      </c>
      <c r="P3" s="87" t="s">
        <v>479</v>
      </c>
      <c r="Q3" s="99" t="s">
        <v>480</v>
      </c>
      <c r="R3" s="88" t="s">
        <v>103</v>
      </c>
      <c r="S3" s="139" t="s">
        <v>104</v>
      </c>
      <c r="T3" s="89"/>
      <c r="U3" s="83"/>
      <c r="V3" s="83"/>
    </row>
    <row r="4" spans="8:29">
      <c r="H4" s="83"/>
      <c r="I4" s="126" t="s">
        <v>5</v>
      </c>
      <c r="J4" s="80" t="s">
        <v>117</v>
      </c>
      <c r="K4" s="226"/>
      <c r="L4" s="227">
        <f>+K4*3</f>
        <v>0</v>
      </c>
      <c r="M4" s="379"/>
      <c r="N4" s="380">
        <v>0</v>
      </c>
      <c r="O4" s="76">
        <v>31</v>
      </c>
      <c r="P4" s="75">
        <f t="shared" ref="P4:P42" si="0">IF(O4&gt;25,150,(O4)*6)</f>
        <v>150</v>
      </c>
      <c r="Q4" s="217"/>
      <c r="R4" s="11">
        <f t="shared" ref="R4:R42" si="1">+L4+N4+P4+Q4</f>
        <v>150</v>
      </c>
      <c r="S4" s="106"/>
      <c r="T4" s="5"/>
      <c r="U4" s="258">
        <v>815.2</v>
      </c>
      <c r="V4" s="259">
        <v>94</v>
      </c>
      <c r="W4" s="260">
        <v>721.2</v>
      </c>
      <c r="X4" s="333" t="s">
        <v>215</v>
      </c>
      <c r="Y4" s="266"/>
    </row>
    <row r="5" spans="8:29">
      <c r="H5" s="242" t="s">
        <v>232</v>
      </c>
      <c r="I5" s="188" t="s">
        <v>64</v>
      </c>
      <c r="J5" s="242" t="s">
        <v>138</v>
      </c>
      <c r="K5" s="192"/>
      <c r="L5" s="193">
        <f>+K5*3</f>
        <v>0</v>
      </c>
      <c r="M5" s="381"/>
      <c r="N5" s="382">
        <v>0</v>
      </c>
      <c r="O5" s="192"/>
      <c r="P5" s="193">
        <f t="shared" si="0"/>
        <v>0</v>
      </c>
      <c r="Q5" s="221"/>
      <c r="R5" s="193">
        <f t="shared" si="1"/>
        <v>0</v>
      </c>
      <c r="S5" s="197"/>
      <c r="T5" s="5"/>
      <c r="U5" s="326">
        <f>+V5+W5</f>
        <v>813.84359400998335</v>
      </c>
      <c r="V5" s="256">
        <f>+V4*W5/W4</f>
        <v>93.843594009983349</v>
      </c>
      <c r="W5" s="261">
        <v>720</v>
      </c>
      <c r="X5" s="334" t="s">
        <v>381</v>
      </c>
    </row>
    <row r="6" spans="8:29">
      <c r="H6" s="142"/>
      <c r="I6" s="269" t="s">
        <v>387</v>
      </c>
      <c r="J6" s="270" t="s">
        <v>388</v>
      </c>
      <c r="K6" s="271"/>
      <c r="L6" s="272">
        <v>0</v>
      </c>
      <c r="M6" s="383"/>
      <c r="N6" s="380">
        <v>0</v>
      </c>
      <c r="O6" s="271">
        <v>20</v>
      </c>
      <c r="P6" s="272">
        <f t="shared" si="0"/>
        <v>120</v>
      </c>
      <c r="Q6" s="273"/>
      <c r="R6" s="272">
        <f t="shared" si="1"/>
        <v>120</v>
      </c>
      <c r="S6" s="274"/>
      <c r="T6" s="5"/>
      <c r="U6" s="32">
        <f>+U4-U5+0.01</f>
        <v>1.3664059900166967</v>
      </c>
      <c r="V6" s="47"/>
      <c r="W6" s="33"/>
      <c r="X6" s="262" t="s">
        <v>59</v>
      </c>
    </row>
    <row r="7" spans="8:29">
      <c r="H7" s="242" t="s">
        <v>232</v>
      </c>
      <c r="I7" s="188" t="s">
        <v>2</v>
      </c>
      <c r="J7" s="242" t="s">
        <v>107</v>
      </c>
      <c r="K7" s="192"/>
      <c r="L7" s="193">
        <f>+K7*3</f>
        <v>0</v>
      </c>
      <c r="M7" s="381"/>
      <c r="N7" s="382">
        <f>+M7*3</f>
        <v>0</v>
      </c>
      <c r="O7" s="192">
        <v>29</v>
      </c>
      <c r="P7" s="193">
        <f t="shared" si="0"/>
        <v>150</v>
      </c>
      <c r="Q7" s="221"/>
      <c r="R7" s="193">
        <f t="shared" si="1"/>
        <v>150</v>
      </c>
      <c r="S7" s="197"/>
      <c r="T7" s="5"/>
      <c r="U7" s="34">
        <v>150</v>
      </c>
      <c r="V7" s="335">
        <f>+U7-U6</f>
        <v>148.63359400998331</v>
      </c>
      <c r="W7" s="39" t="s">
        <v>63</v>
      </c>
      <c r="X7" s="263">
        <f>150-V7</f>
        <v>1.3664059900166876</v>
      </c>
    </row>
    <row r="8" spans="8:29">
      <c r="H8" s="95"/>
      <c r="I8" s="25" t="s">
        <v>42</v>
      </c>
      <c r="J8" s="81" t="s">
        <v>119</v>
      </c>
      <c r="K8" s="228"/>
      <c r="L8" s="227">
        <f>+K8*3</f>
        <v>0</v>
      </c>
      <c r="M8" s="383"/>
      <c r="N8" s="380">
        <f>+M8*3</f>
        <v>0</v>
      </c>
      <c r="O8" s="28">
        <v>23</v>
      </c>
      <c r="P8" s="75">
        <f t="shared" si="0"/>
        <v>138</v>
      </c>
      <c r="Q8" s="374"/>
      <c r="R8" s="11">
        <f t="shared" si="1"/>
        <v>138</v>
      </c>
      <c r="S8" s="107"/>
      <c r="T8" s="5"/>
      <c r="X8" s="37"/>
    </row>
    <row r="9" spans="8:29" ht="15" customHeight="1">
      <c r="H9" s="251" t="s">
        <v>50</v>
      </c>
      <c r="I9" s="275" t="s">
        <v>1</v>
      </c>
      <c r="J9" s="276" t="s">
        <v>106</v>
      </c>
      <c r="K9" s="277"/>
      <c r="L9" s="278">
        <f>3*K9</f>
        <v>0</v>
      </c>
      <c r="M9" s="381"/>
      <c r="N9" s="382">
        <f>3*M9</f>
        <v>0</v>
      </c>
      <c r="O9" s="277"/>
      <c r="P9" s="278">
        <f t="shared" si="0"/>
        <v>0</v>
      </c>
      <c r="Q9" s="279"/>
      <c r="R9" s="278">
        <f t="shared" si="1"/>
        <v>0</v>
      </c>
      <c r="S9" s="280"/>
      <c r="T9" s="5"/>
      <c r="U9" s="258">
        <v>988</v>
      </c>
      <c r="V9" s="259">
        <v>118.76</v>
      </c>
      <c r="W9" s="260">
        <v>869.24</v>
      </c>
      <c r="X9" s="333" t="s">
        <v>349</v>
      </c>
      <c r="Y9" s="266"/>
    </row>
    <row r="10" spans="8:29">
      <c r="H10" s="95"/>
      <c r="I10" s="25" t="s">
        <v>56</v>
      </c>
      <c r="J10" s="81" t="s">
        <v>136</v>
      </c>
      <c r="K10" s="228"/>
      <c r="L10" s="227">
        <v>0</v>
      </c>
      <c r="M10" s="383"/>
      <c r="N10" s="380">
        <f>3*M10</f>
        <v>0</v>
      </c>
      <c r="O10" s="28"/>
      <c r="P10" s="75">
        <f t="shared" si="0"/>
        <v>0</v>
      </c>
      <c r="Q10" s="374"/>
      <c r="R10" s="11">
        <f t="shared" si="1"/>
        <v>0</v>
      </c>
      <c r="S10" s="107"/>
      <c r="T10" s="5"/>
      <c r="U10" s="326">
        <f>+V10+W10</f>
        <v>935.44245547834896</v>
      </c>
      <c r="V10" s="256">
        <f>+V9*W10/W9</f>
        <v>112.44245547834892</v>
      </c>
      <c r="W10" s="261">
        <v>823</v>
      </c>
      <c r="X10" s="334" t="s">
        <v>348</v>
      </c>
    </row>
    <row r="11" spans="8:29">
      <c r="H11" s="95"/>
      <c r="I11" s="25" t="s">
        <v>16</v>
      </c>
      <c r="J11" s="81" t="s">
        <v>113</v>
      </c>
      <c r="K11" s="228"/>
      <c r="L11" s="227">
        <v>0</v>
      </c>
      <c r="M11" s="383"/>
      <c r="N11" s="380">
        <f>3*M11</f>
        <v>0</v>
      </c>
      <c r="O11" s="28"/>
      <c r="P11" s="75">
        <f t="shared" si="0"/>
        <v>0</v>
      </c>
      <c r="Q11" s="374"/>
      <c r="R11" s="11">
        <f t="shared" si="1"/>
        <v>0</v>
      </c>
      <c r="S11" s="107"/>
      <c r="T11" s="5"/>
      <c r="U11" s="32">
        <f>+U9-U10</f>
        <v>52.557544521651039</v>
      </c>
      <c r="V11" s="47"/>
      <c r="W11" s="33"/>
      <c r="X11" s="262" t="s">
        <v>59</v>
      </c>
    </row>
    <row r="12" spans="8:29">
      <c r="H12" s="83"/>
      <c r="I12" s="25" t="s">
        <v>20</v>
      </c>
      <c r="J12" s="81" t="s">
        <v>195</v>
      </c>
      <c r="K12" s="228"/>
      <c r="L12" s="227">
        <f>+K12*3</f>
        <v>0</v>
      </c>
      <c r="M12" s="383"/>
      <c r="N12" s="380">
        <f>+M12*3</f>
        <v>0</v>
      </c>
      <c r="O12" s="74"/>
      <c r="P12" s="75">
        <f t="shared" si="0"/>
        <v>0</v>
      </c>
      <c r="Q12" s="217"/>
      <c r="R12" s="9">
        <f t="shared" si="1"/>
        <v>0</v>
      </c>
      <c r="S12" s="107"/>
      <c r="T12" s="5"/>
      <c r="U12" s="34">
        <v>150</v>
      </c>
      <c r="V12" s="38">
        <f>+U12-U11</f>
        <v>97.442455478348961</v>
      </c>
      <c r="W12" s="39" t="s">
        <v>63</v>
      </c>
      <c r="X12" s="263">
        <f>150-V12</f>
        <v>52.557544521651039</v>
      </c>
    </row>
    <row r="13" spans="8:29">
      <c r="H13" s="251" t="s">
        <v>50</v>
      </c>
      <c r="I13" s="275" t="s">
        <v>459</v>
      </c>
      <c r="J13" s="276" t="s">
        <v>460</v>
      </c>
      <c r="K13" s="277"/>
      <c r="L13" s="278">
        <v>0</v>
      </c>
      <c r="M13" s="381"/>
      <c r="N13" s="382">
        <v>0</v>
      </c>
      <c r="O13" s="277">
        <v>21</v>
      </c>
      <c r="P13" s="278">
        <f t="shared" si="0"/>
        <v>126</v>
      </c>
      <c r="Q13" s="374"/>
      <c r="R13" s="278">
        <f t="shared" si="1"/>
        <v>126</v>
      </c>
      <c r="S13" s="280"/>
      <c r="T13" s="5"/>
      <c r="U13" s="10"/>
      <c r="X13" s="37"/>
    </row>
    <row r="14" spans="8:29">
      <c r="H14" s="251" t="s">
        <v>50</v>
      </c>
      <c r="I14" s="275" t="s">
        <v>272</v>
      </c>
      <c r="J14" s="276" t="s">
        <v>271</v>
      </c>
      <c r="K14" s="277"/>
      <c r="L14" s="278">
        <v>0</v>
      </c>
      <c r="M14" s="381"/>
      <c r="N14" s="382">
        <v>0</v>
      </c>
      <c r="O14" s="277"/>
      <c r="P14" s="278">
        <f t="shared" si="0"/>
        <v>0</v>
      </c>
      <c r="Q14" s="279"/>
      <c r="R14" s="278">
        <f t="shared" si="1"/>
        <v>0</v>
      </c>
      <c r="S14" s="280"/>
      <c r="T14" s="5"/>
      <c r="U14" s="258">
        <v>880</v>
      </c>
      <c r="V14" s="259">
        <v>114.4</v>
      </c>
      <c r="W14" s="327">
        <v>765.6</v>
      </c>
      <c r="X14" s="100"/>
      <c r="Y14" s="266"/>
      <c r="Z14" s="311" t="s">
        <v>291</v>
      </c>
      <c r="AA14" s="177"/>
      <c r="AB14" s="178"/>
      <c r="AC14" s="432" t="s">
        <v>290</v>
      </c>
    </row>
    <row r="15" spans="8:29">
      <c r="H15" s="95"/>
      <c r="I15" s="25" t="s">
        <v>25</v>
      </c>
      <c r="J15" s="81" t="s">
        <v>118</v>
      </c>
      <c r="K15" s="228"/>
      <c r="L15" s="227">
        <f>+K15*3</f>
        <v>0</v>
      </c>
      <c r="M15" s="383"/>
      <c r="N15" s="380">
        <f>+M15*3</f>
        <v>0</v>
      </c>
      <c r="O15" s="28"/>
      <c r="P15" s="75">
        <f t="shared" si="0"/>
        <v>0</v>
      </c>
      <c r="Q15" s="218"/>
      <c r="R15" s="11">
        <f t="shared" si="1"/>
        <v>0</v>
      </c>
      <c r="S15" s="107"/>
      <c r="T15" s="5"/>
      <c r="U15" s="326">
        <f>+V15+W15</f>
        <v>945.97701149425291</v>
      </c>
      <c r="V15" s="256">
        <f>+V14*W15/W14</f>
        <v>122.97701149425289</v>
      </c>
      <c r="W15" s="261">
        <v>823</v>
      </c>
      <c r="X15" s="36" t="s">
        <v>350</v>
      </c>
      <c r="Z15" s="312" t="s">
        <v>292</v>
      </c>
      <c r="AA15" s="313" t="s">
        <v>293</v>
      </c>
      <c r="AB15" s="312" t="s">
        <v>277</v>
      </c>
      <c r="AC15" s="433"/>
    </row>
    <row r="16" spans="8:29">
      <c r="H16" s="95"/>
      <c r="I16" s="25" t="s">
        <v>41</v>
      </c>
      <c r="J16" s="81" t="s">
        <v>112</v>
      </c>
      <c r="K16" s="228"/>
      <c r="L16" s="227">
        <f>+K16*3</f>
        <v>0</v>
      </c>
      <c r="M16" s="383"/>
      <c r="N16" s="380">
        <f>+M16*3</f>
        <v>0</v>
      </c>
      <c r="O16" s="28">
        <v>34</v>
      </c>
      <c r="P16" s="75">
        <f t="shared" si="0"/>
        <v>150</v>
      </c>
      <c r="Q16" s="218"/>
      <c r="R16" s="11">
        <f t="shared" si="1"/>
        <v>150</v>
      </c>
      <c r="S16" s="107"/>
      <c r="T16" s="5"/>
      <c r="U16" s="32">
        <f>+U14-U15</f>
        <v>-65.977011494252906</v>
      </c>
      <c r="V16" s="47"/>
      <c r="W16" s="33"/>
      <c r="X16" s="262" t="s">
        <v>59</v>
      </c>
      <c r="Z16" s="282">
        <v>43673</v>
      </c>
      <c r="AA16" s="317">
        <v>1</v>
      </c>
      <c r="AB16" s="281">
        <v>3</v>
      </c>
      <c r="AC16" s="174" t="s">
        <v>157</v>
      </c>
    </row>
    <row r="17" spans="1:29">
      <c r="A17" s="215"/>
      <c r="H17" s="83"/>
      <c r="I17" s="126" t="s">
        <v>71</v>
      </c>
      <c r="J17" s="80" t="s">
        <v>139</v>
      </c>
      <c r="K17" s="226"/>
      <c r="L17" s="227">
        <f>5*K17</f>
        <v>0</v>
      </c>
      <c r="M17" s="379"/>
      <c r="N17" s="380">
        <f>5*M17</f>
        <v>0</v>
      </c>
      <c r="O17" s="76">
        <v>28</v>
      </c>
      <c r="P17" s="75">
        <f t="shared" si="0"/>
        <v>150</v>
      </c>
      <c r="Q17" s="217"/>
      <c r="R17" s="11">
        <f t="shared" si="1"/>
        <v>150</v>
      </c>
      <c r="S17" s="106"/>
      <c r="T17" s="5"/>
      <c r="U17" s="34">
        <v>150</v>
      </c>
      <c r="V17" s="38">
        <f>+U17-U16</f>
        <v>215.97701149425291</v>
      </c>
      <c r="W17" s="39" t="s">
        <v>63</v>
      </c>
      <c r="X17" s="263">
        <f>150-V17</f>
        <v>-65.977011494252906</v>
      </c>
      <c r="Z17" s="282">
        <f>1+Z16</f>
        <v>43674</v>
      </c>
      <c r="AA17" s="318">
        <v>1</v>
      </c>
      <c r="AB17" s="281">
        <v>5</v>
      </c>
      <c r="AC17" s="33" t="s">
        <v>156</v>
      </c>
    </row>
    <row r="18" spans="1:29">
      <c r="A18" s="215"/>
      <c r="H18" s="242" t="s">
        <v>232</v>
      </c>
      <c r="I18" s="188" t="s">
        <v>28</v>
      </c>
      <c r="J18" s="242" t="s">
        <v>122</v>
      </c>
      <c r="K18" s="192"/>
      <c r="L18" s="193">
        <f>+K18*3</f>
        <v>0</v>
      </c>
      <c r="M18" s="381"/>
      <c r="N18" s="382">
        <f>+M18*3</f>
        <v>0</v>
      </c>
      <c r="O18" s="192"/>
      <c r="P18" s="193">
        <f t="shared" si="0"/>
        <v>0</v>
      </c>
      <c r="Q18" s="221"/>
      <c r="R18" s="193">
        <f t="shared" si="1"/>
        <v>0</v>
      </c>
      <c r="S18" s="197"/>
      <c r="T18" s="5"/>
      <c r="U18" s="10"/>
      <c r="X18" s="37"/>
      <c r="Z18" s="282">
        <f t="shared" ref="Z18:Z26" si="2">1+Z17</f>
        <v>43675</v>
      </c>
      <c r="AA18" s="318">
        <v>1</v>
      </c>
      <c r="AB18" s="281">
        <v>5</v>
      </c>
      <c r="AC18" s="33" t="s">
        <v>151</v>
      </c>
    </row>
    <row r="19" spans="1:29">
      <c r="H19" s="141"/>
      <c r="I19" s="269" t="s">
        <v>270</v>
      </c>
      <c r="J19" s="270" t="s">
        <v>273</v>
      </c>
      <c r="K19" s="271"/>
      <c r="L19" s="272">
        <v>0</v>
      </c>
      <c r="M19" s="383"/>
      <c r="N19" s="380">
        <f>5*M19</f>
        <v>0</v>
      </c>
      <c r="O19" s="271"/>
      <c r="P19" s="272">
        <f t="shared" si="0"/>
        <v>0</v>
      </c>
      <c r="Q19" s="273"/>
      <c r="R19" s="272">
        <f t="shared" si="1"/>
        <v>0</v>
      </c>
      <c r="S19" s="274"/>
      <c r="T19" s="5"/>
      <c r="U19" s="258">
        <v>900</v>
      </c>
      <c r="V19" s="259">
        <f>+U19*0.13</f>
        <v>117</v>
      </c>
      <c r="W19" s="327">
        <f>+V19+U19</f>
        <v>1017</v>
      </c>
      <c r="X19" s="100"/>
      <c r="Y19" s="266"/>
      <c r="Z19" s="282">
        <f t="shared" si="2"/>
        <v>43676</v>
      </c>
      <c r="AA19" s="318">
        <v>1</v>
      </c>
      <c r="AB19" s="281">
        <v>2</v>
      </c>
      <c r="AC19" s="33" t="s">
        <v>152</v>
      </c>
    </row>
    <row r="20" spans="1:29">
      <c r="A20" s="215"/>
      <c r="H20" s="142"/>
      <c r="I20" s="25" t="s">
        <v>4</v>
      </c>
      <c r="J20" s="81" t="s">
        <v>111</v>
      </c>
      <c r="K20" s="228"/>
      <c r="L20" s="227">
        <v>0</v>
      </c>
      <c r="M20" s="383"/>
      <c r="N20" s="380">
        <f>+M20*3</f>
        <v>0</v>
      </c>
      <c r="O20" s="28">
        <v>27</v>
      </c>
      <c r="P20" s="75">
        <f t="shared" si="0"/>
        <v>150</v>
      </c>
      <c r="Q20" s="218"/>
      <c r="R20" s="11">
        <f t="shared" si="1"/>
        <v>150</v>
      </c>
      <c r="S20" s="107"/>
      <c r="T20" s="5"/>
      <c r="U20" s="326">
        <f>+V20+W20</f>
        <v>802.83185840707961</v>
      </c>
      <c r="V20" s="256">
        <f>+V19*W20/W19</f>
        <v>82.83185840707965</v>
      </c>
      <c r="W20" s="261">
        <v>720</v>
      </c>
      <c r="X20" s="36" t="s">
        <v>350</v>
      </c>
      <c r="Z20" s="282">
        <f t="shared" si="2"/>
        <v>43677</v>
      </c>
      <c r="AA20" s="318"/>
      <c r="AB20" s="281"/>
      <c r="AC20" s="33" t="s">
        <v>153</v>
      </c>
    </row>
    <row r="21" spans="1:29">
      <c r="A21" s="215"/>
      <c r="H21" s="142"/>
      <c r="I21" s="25" t="s">
        <v>9</v>
      </c>
      <c r="J21" s="81" t="s">
        <v>128</v>
      </c>
      <c r="K21" s="228"/>
      <c r="L21" s="227">
        <v>0</v>
      </c>
      <c r="M21" s="383"/>
      <c r="N21" s="380">
        <f>3*M21</f>
        <v>0</v>
      </c>
      <c r="O21" s="28"/>
      <c r="P21" s="75">
        <f t="shared" si="0"/>
        <v>0</v>
      </c>
      <c r="Q21" s="374"/>
      <c r="R21" s="11">
        <f t="shared" si="1"/>
        <v>0</v>
      </c>
      <c r="S21" s="107"/>
      <c r="T21" s="5"/>
      <c r="U21" s="32">
        <f>+U19-U20</f>
        <v>97.168141592920392</v>
      </c>
      <c r="V21" s="47"/>
      <c r="W21" s="33"/>
      <c r="X21" s="262" t="s">
        <v>59</v>
      </c>
      <c r="Z21" s="282">
        <f t="shared" si="2"/>
        <v>43678</v>
      </c>
      <c r="AA21" s="318"/>
      <c r="AB21" s="281"/>
      <c r="AC21" s="33" t="s">
        <v>154</v>
      </c>
    </row>
    <row r="22" spans="1:29">
      <c r="A22" s="215"/>
      <c r="H22" s="142"/>
      <c r="I22" s="25" t="s">
        <v>236</v>
      </c>
      <c r="J22" s="96" t="s">
        <v>235</v>
      </c>
      <c r="K22" s="29"/>
      <c r="L22" s="27">
        <v>0</v>
      </c>
      <c r="M22" s="383"/>
      <c r="N22" s="380">
        <v>0</v>
      </c>
      <c r="O22" s="28">
        <v>26</v>
      </c>
      <c r="P22" s="11">
        <f t="shared" si="0"/>
        <v>150</v>
      </c>
      <c r="Q22" s="374"/>
      <c r="R22" s="11">
        <f t="shared" si="1"/>
        <v>150</v>
      </c>
      <c r="S22" s="241"/>
      <c r="T22" s="5"/>
      <c r="U22" s="34">
        <v>150</v>
      </c>
      <c r="V22" s="38">
        <f>+U22-U21</f>
        <v>52.831858407079608</v>
      </c>
      <c r="W22" s="39" t="s">
        <v>63</v>
      </c>
      <c r="X22" s="263">
        <f>150-V22</f>
        <v>97.168141592920392</v>
      </c>
      <c r="Z22" s="282">
        <f t="shared" si="2"/>
        <v>43679</v>
      </c>
      <c r="AA22" s="318"/>
      <c r="AB22" s="281"/>
      <c r="AC22" s="175" t="s">
        <v>155</v>
      </c>
    </row>
    <row r="23" spans="1:29">
      <c r="H23" s="142"/>
      <c r="I23" s="269" t="s">
        <v>328</v>
      </c>
      <c r="J23" s="270" t="s">
        <v>329</v>
      </c>
      <c r="K23" s="271"/>
      <c r="L23" s="272">
        <v>0</v>
      </c>
      <c r="M23" s="383"/>
      <c r="N23" s="380">
        <v>0</v>
      </c>
      <c r="O23" s="271"/>
      <c r="P23" s="272">
        <f t="shared" si="0"/>
        <v>0</v>
      </c>
      <c r="Q23" s="273"/>
      <c r="R23" s="272">
        <f t="shared" si="1"/>
        <v>0</v>
      </c>
      <c r="S23" s="274"/>
      <c r="T23" s="5"/>
      <c r="U23" s="10"/>
      <c r="X23" s="37"/>
      <c r="Z23" s="282">
        <f t="shared" si="2"/>
        <v>43680</v>
      </c>
      <c r="AA23" s="318"/>
      <c r="AB23" s="281"/>
      <c r="AC23" s="61"/>
    </row>
    <row r="24" spans="1:29">
      <c r="A24" s="237"/>
      <c r="B24" s="237"/>
      <c r="C24" s="237"/>
      <c r="D24" s="238"/>
      <c r="E24" s="237"/>
      <c r="F24" s="239"/>
      <c r="G24" s="237"/>
      <c r="H24" s="142"/>
      <c r="I24" s="25" t="s">
        <v>51</v>
      </c>
      <c r="J24" s="96" t="s">
        <v>134</v>
      </c>
      <c r="K24" s="29"/>
      <c r="L24" s="27">
        <f>+K24*3</f>
        <v>0</v>
      </c>
      <c r="M24" s="383"/>
      <c r="N24" s="380">
        <f>+M24*3</f>
        <v>0</v>
      </c>
      <c r="O24" s="28">
        <v>25</v>
      </c>
      <c r="P24" s="11">
        <f t="shared" si="0"/>
        <v>150</v>
      </c>
      <c r="Q24" s="218"/>
      <c r="R24" s="240">
        <f t="shared" si="1"/>
        <v>150</v>
      </c>
      <c r="S24" s="241"/>
      <c r="T24" s="5"/>
      <c r="Z24" s="282">
        <f t="shared" si="2"/>
        <v>43681</v>
      </c>
      <c r="AA24" s="318"/>
      <c r="AB24" s="281"/>
      <c r="AC24" s="61"/>
    </row>
    <row r="25" spans="1:29">
      <c r="A25" s="215"/>
      <c r="H25" s="142"/>
      <c r="I25" s="25" t="s">
        <v>61</v>
      </c>
      <c r="J25" s="96" t="s">
        <v>137</v>
      </c>
      <c r="K25" s="28"/>
      <c r="L25" s="11">
        <f>3*K25</f>
        <v>0</v>
      </c>
      <c r="M25" s="383"/>
      <c r="N25" s="380">
        <f>5*M25</f>
        <v>0</v>
      </c>
      <c r="O25" s="28"/>
      <c r="P25" s="11">
        <f t="shared" si="0"/>
        <v>0</v>
      </c>
      <c r="Q25" s="374"/>
      <c r="R25" s="361">
        <f t="shared" si="1"/>
        <v>0</v>
      </c>
      <c r="S25" s="241"/>
      <c r="T25" s="5"/>
      <c r="U25" s="332" t="s">
        <v>382</v>
      </c>
      <c r="Z25" s="282">
        <f t="shared" si="2"/>
        <v>43682</v>
      </c>
      <c r="AA25" s="318"/>
      <c r="AB25" s="281"/>
      <c r="AC25" s="65"/>
    </row>
    <row r="26" spans="1:29">
      <c r="A26" s="215"/>
      <c r="H26" s="95"/>
      <c r="I26" s="25" t="s">
        <v>14</v>
      </c>
      <c r="J26" s="81" t="s">
        <v>125</v>
      </c>
      <c r="K26" s="228"/>
      <c r="L26" s="227">
        <f>+K26*3</f>
        <v>0</v>
      </c>
      <c r="M26" s="383"/>
      <c r="N26" s="380">
        <f>3*M26</f>
        <v>0</v>
      </c>
      <c r="O26" s="28">
        <v>28</v>
      </c>
      <c r="P26" s="75">
        <f t="shared" si="0"/>
        <v>150</v>
      </c>
      <c r="Q26" s="374"/>
      <c r="R26" s="11">
        <f t="shared" si="1"/>
        <v>150</v>
      </c>
      <c r="S26" s="107"/>
      <c r="T26" s="5"/>
      <c r="Z26" s="282">
        <f t="shared" si="2"/>
        <v>43683</v>
      </c>
      <c r="AA26" s="319"/>
      <c r="AB26" s="281"/>
      <c r="AC26" s="66"/>
    </row>
    <row r="27" spans="1:29">
      <c r="A27" s="215"/>
      <c r="H27" s="242" t="s">
        <v>232</v>
      </c>
      <c r="I27" s="188" t="s">
        <v>79</v>
      </c>
      <c r="J27" s="242" t="s">
        <v>110</v>
      </c>
      <c r="K27" s="192"/>
      <c r="L27" s="193">
        <v>0</v>
      </c>
      <c r="M27" s="381"/>
      <c r="N27" s="382">
        <v>0</v>
      </c>
      <c r="O27" s="192"/>
      <c r="P27" s="193">
        <f t="shared" si="0"/>
        <v>0</v>
      </c>
      <c r="Q27" s="221"/>
      <c r="R27" s="193">
        <f t="shared" si="1"/>
        <v>0</v>
      </c>
      <c r="S27" s="197"/>
      <c r="T27" s="5"/>
      <c r="U27" s="287" t="s">
        <v>347</v>
      </c>
      <c r="Z27" s="314" t="s">
        <v>150</v>
      </c>
      <c r="AA27" s="315">
        <f>SUM(AA16:AA26)</f>
        <v>4</v>
      </c>
      <c r="AB27" s="316" t="s">
        <v>148</v>
      </c>
      <c r="AC27" s="68"/>
    </row>
    <row r="28" spans="1:29">
      <c r="H28" s="83"/>
      <c r="I28" s="269" t="s">
        <v>214</v>
      </c>
      <c r="J28" s="270" t="s">
        <v>215</v>
      </c>
      <c r="K28" s="271"/>
      <c r="L28" s="272">
        <v>0</v>
      </c>
      <c r="M28" s="383"/>
      <c r="N28" s="380">
        <f>3*M28</f>
        <v>0</v>
      </c>
      <c r="O28" s="271"/>
      <c r="P28" s="272">
        <f t="shared" si="0"/>
        <v>0</v>
      </c>
      <c r="Q28" s="374"/>
      <c r="R28" s="272">
        <f t="shared" si="1"/>
        <v>0</v>
      </c>
      <c r="S28" s="274"/>
      <c r="T28" s="5"/>
      <c r="Z28" s="184"/>
      <c r="AA28" s="171">
        <f>SUM(AB16:AB26)</f>
        <v>15</v>
      </c>
      <c r="AB28" s="185" t="s">
        <v>149</v>
      </c>
      <c r="AC28" s="69"/>
    </row>
    <row r="29" spans="1:29" ht="16.5">
      <c r="A29" s="237"/>
      <c r="B29" s="237"/>
      <c r="C29" s="237"/>
      <c r="D29" s="238"/>
      <c r="E29" s="237"/>
      <c r="F29" s="239"/>
      <c r="G29" s="237"/>
      <c r="H29" s="142"/>
      <c r="I29" s="25" t="s">
        <v>45</v>
      </c>
      <c r="J29" s="96" t="s">
        <v>133</v>
      </c>
      <c r="K29" s="29"/>
      <c r="L29" s="27">
        <f>+K29*3</f>
        <v>0</v>
      </c>
      <c r="M29" s="383"/>
      <c r="N29" s="380">
        <f>+M29*3</f>
        <v>0</v>
      </c>
      <c r="O29" s="28">
        <v>23</v>
      </c>
      <c r="P29" s="11">
        <f>IF(O29&gt;25,150,(O29)*6)</f>
        <v>138</v>
      </c>
      <c r="Q29" s="218"/>
      <c r="R29" s="240">
        <f t="shared" si="1"/>
        <v>138</v>
      </c>
      <c r="S29" s="241"/>
      <c r="T29" s="5"/>
      <c r="Z29" s="186" t="s">
        <v>160</v>
      </c>
      <c r="AA29" s="284">
        <f>+AA28/AA27</f>
        <v>3.75</v>
      </c>
      <c r="AB29" s="173" t="s">
        <v>150</v>
      </c>
      <c r="AC29" s="65"/>
    </row>
    <row r="30" spans="1:29">
      <c r="A30" s="215"/>
      <c r="H30" s="142"/>
      <c r="I30" s="25" t="s">
        <v>13</v>
      </c>
      <c r="J30" s="81" t="s">
        <v>319</v>
      </c>
      <c r="K30" s="228"/>
      <c r="L30" s="227">
        <f>3*K30</f>
        <v>0</v>
      </c>
      <c r="M30" s="383"/>
      <c r="N30" s="380">
        <f>3*M30</f>
        <v>0</v>
      </c>
      <c r="O30" s="28">
        <v>21</v>
      </c>
      <c r="P30" s="75">
        <f t="shared" si="0"/>
        <v>126</v>
      </c>
      <c r="Q30" s="374"/>
      <c r="R30" s="240">
        <f t="shared" si="1"/>
        <v>126</v>
      </c>
      <c r="S30" s="107"/>
      <c r="T30" s="5"/>
    </row>
    <row r="31" spans="1:29">
      <c r="A31" s="215"/>
      <c r="H31" s="95"/>
      <c r="I31" s="25" t="s">
        <v>31</v>
      </c>
      <c r="J31" s="81" t="s">
        <v>127</v>
      </c>
      <c r="K31" s="228"/>
      <c r="L31" s="227">
        <v>0</v>
      </c>
      <c r="M31" s="383"/>
      <c r="N31" s="380">
        <v>0</v>
      </c>
      <c r="O31" s="28">
        <v>29</v>
      </c>
      <c r="P31" s="75">
        <f t="shared" si="0"/>
        <v>150</v>
      </c>
      <c r="Q31" s="374"/>
      <c r="R31" s="11">
        <f t="shared" si="1"/>
        <v>150</v>
      </c>
      <c r="S31" s="107"/>
      <c r="T31" s="5"/>
    </row>
    <row r="32" spans="1:29">
      <c r="A32" s="215"/>
      <c r="H32" s="95"/>
      <c r="I32" s="25" t="s">
        <v>30</v>
      </c>
      <c r="J32" s="81" t="s">
        <v>126</v>
      </c>
      <c r="K32" s="228"/>
      <c r="L32" s="227">
        <f>+K32*3</f>
        <v>0</v>
      </c>
      <c r="M32" s="383"/>
      <c r="N32" s="380">
        <f>+M32*3</f>
        <v>0</v>
      </c>
      <c r="O32" s="28"/>
      <c r="P32" s="75">
        <f t="shared" si="0"/>
        <v>0</v>
      </c>
      <c r="Q32" s="218"/>
      <c r="R32" s="320">
        <f t="shared" si="1"/>
        <v>0</v>
      </c>
      <c r="S32" s="107"/>
      <c r="T32" s="5"/>
    </row>
    <row r="33" spans="1:32" s="4" customFormat="1">
      <c r="A33" s="215"/>
      <c r="B33"/>
      <c r="C33"/>
      <c r="D33" s="1"/>
      <c r="E33"/>
      <c r="F33" s="2"/>
      <c r="G33"/>
      <c r="H33" s="83"/>
      <c r="I33" s="269" t="s">
        <v>186</v>
      </c>
      <c r="J33" s="270" t="s">
        <v>187</v>
      </c>
      <c r="K33" s="271"/>
      <c r="L33" s="272">
        <v>0</v>
      </c>
      <c r="M33" s="383"/>
      <c r="N33" s="380">
        <v>0</v>
      </c>
      <c r="O33" s="271"/>
      <c r="P33" s="272">
        <f t="shared" si="0"/>
        <v>0</v>
      </c>
      <c r="Q33" s="273"/>
      <c r="R33" s="272">
        <f t="shared" si="1"/>
        <v>0</v>
      </c>
      <c r="S33" s="274"/>
      <c r="T33" s="5"/>
      <c r="U33"/>
      <c r="V33" s="46"/>
      <c r="W33"/>
      <c r="X33"/>
      <c r="Y33"/>
      <c r="Z33"/>
      <c r="AA33"/>
      <c r="AB33"/>
      <c r="AC33"/>
      <c r="AD33"/>
      <c r="AE33"/>
      <c r="AF33"/>
    </row>
    <row r="34" spans="1:32">
      <c r="A34" s="215"/>
      <c r="H34" s="83"/>
      <c r="I34" s="25" t="s">
        <v>17</v>
      </c>
      <c r="J34" s="81" t="s">
        <v>123</v>
      </c>
      <c r="K34" s="228"/>
      <c r="L34" s="227">
        <f>+K34*3</f>
        <v>0</v>
      </c>
      <c r="M34" s="383"/>
      <c r="N34" s="380">
        <v>0</v>
      </c>
      <c r="O34" s="74">
        <v>25</v>
      </c>
      <c r="P34" s="75">
        <f>IF(O34&gt;25,150,(O34)*6)</f>
        <v>150</v>
      </c>
      <c r="Q34" s="218"/>
      <c r="R34" s="11">
        <f t="shared" si="1"/>
        <v>150</v>
      </c>
      <c r="S34" s="107"/>
      <c r="T34" s="5"/>
    </row>
    <row r="35" spans="1:32">
      <c r="A35" s="215"/>
      <c r="H35" s="83"/>
      <c r="I35" s="25" t="s">
        <v>60</v>
      </c>
      <c r="J35" s="81" t="s">
        <v>132</v>
      </c>
      <c r="K35" s="228"/>
      <c r="L35" s="227">
        <v>0</v>
      </c>
      <c r="M35" s="383"/>
      <c r="N35" s="380">
        <v>0</v>
      </c>
      <c r="O35" s="74"/>
      <c r="P35" s="75">
        <f>IF(O35&gt;25,150,(O35)*6)</f>
        <v>0</v>
      </c>
      <c r="Q35" s="218"/>
      <c r="R35" s="11">
        <f>+L35+N35+P35+Q35</f>
        <v>0</v>
      </c>
      <c r="S35" s="107"/>
      <c r="T35" s="5"/>
    </row>
    <row r="36" spans="1:32">
      <c r="H36" s="142"/>
      <c r="I36" s="25" t="s">
        <v>233</v>
      </c>
      <c r="J36" s="81" t="s">
        <v>234</v>
      </c>
      <c r="K36" s="228"/>
      <c r="L36" s="227">
        <v>0</v>
      </c>
      <c r="M36" s="383"/>
      <c r="N36" s="380">
        <f>3*M36</f>
        <v>0</v>
      </c>
      <c r="O36" s="28"/>
      <c r="P36" s="75">
        <f t="shared" si="0"/>
        <v>0</v>
      </c>
      <c r="Q36" s="374"/>
      <c r="R36" s="11">
        <f>+L36+N36+P36+Q36</f>
        <v>0</v>
      </c>
      <c r="S36" s="107"/>
      <c r="T36" s="5"/>
    </row>
    <row r="37" spans="1:32">
      <c r="H37" s="251" t="s">
        <v>50</v>
      </c>
      <c r="I37" s="275" t="s">
        <v>469</v>
      </c>
      <c r="J37" s="276" t="s">
        <v>470</v>
      </c>
      <c r="K37" s="277"/>
      <c r="L37" s="278">
        <v>0</v>
      </c>
      <c r="M37" s="381"/>
      <c r="N37" s="382">
        <v>0</v>
      </c>
      <c r="O37" s="277">
        <v>20</v>
      </c>
      <c r="P37" s="278">
        <f t="shared" si="0"/>
        <v>120</v>
      </c>
      <c r="Q37" s="279"/>
      <c r="R37" s="278">
        <f t="shared" si="1"/>
        <v>120</v>
      </c>
      <c r="S37" s="280"/>
      <c r="T37" s="5"/>
    </row>
    <row r="38" spans="1:32">
      <c r="A38" s="215"/>
      <c r="H38" s="95"/>
      <c r="I38" s="25" t="s">
        <v>8</v>
      </c>
      <c r="J38" s="81" t="s">
        <v>120</v>
      </c>
      <c r="K38" s="228"/>
      <c r="L38" s="227">
        <v>0</v>
      </c>
      <c r="M38" s="383"/>
      <c r="N38" s="380">
        <v>0</v>
      </c>
      <c r="O38" s="28">
        <v>28</v>
      </c>
      <c r="P38" s="75">
        <f t="shared" si="0"/>
        <v>150</v>
      </c>
      <c r="Q38" s="218"/>
      <c r="R38" s="11">
        <f t="shared" si="1"/>
        <v>150</v>
      </c>
      <c r="S38" s="107"/>
      <c r="T38" s="5"/>
      <c r="AF38" s="4"/>
    </row>
    <row r="39" spans="1:32">
      <c r="A39" s="215"/>
      <c r="H39" s="95"/>
      <c r="I39" s="25" t="s">
        <v>11</v>
      </c>
      <c r="J39" s="81" t="s">
        <v>130</v>
      </c>
      <c r="K39" s="228"/>
      <c r="L39" s="227">
        <f>+K39*3</f>
        <v>0</v>
      </c>
      <c r="M39" s="383"/>
      <c r="N39" s="380">
        <v>0</v>
      </c>
      <c r="O39" s="28">
        <v>25</v>
      </c>
      <c r="P39" s="75">
        <f t="shared" si="0"/>
        <v>150</v>
      </c>
      <c r="Q39" s="374"/>
      <c r="R39" s="11">
        <f t="shared" si="1"/>
        <v>150</v>
      </c>
      <c r="S39" s="107"/>
      <c r="T39" s="5"/>
    </row>
    <row r="40" spans="1:32" ht="15.75">
      <c r="H40" s="83"/>
      <c r="I40" s="25" t="s">
        <v>6</v>
      </c>
      <c r="J40" s="96" t="s">
        <v>116</v>
      </c>
      <c r="K40" s="228"/>
      <c r="L40" s="227">
        <f>+K40*3</f>
        <v>0</v>
      </c>
      <c r="M40" s="383"/>
      <c r="N40" s="380">
        <f>+M40*3</f>
        <v>0</v>
      </c>
      <c r="O40" s="74">
        <v>21</v>
      </c>
      <c r="P40" s="75">
        <f t="shared" si="0"/>
        <v>126</v>
      </c>
      <c r="Q40" s="220"/>
      <c r="R40" s="11">
        <f t="shared" si="1"/>
        <v>126</v>
      </c>
      <c r="S40" s="107"/>
      <c r="T40" s="5"/>
      <c r="V40" s="375">
        <v>12</v>
      </c>
      <c r="W40" s="376">
        <f>+V40/7*6</f>
        <v>10.285714285714285</v>
      </c>
    </row>
    <row r="41" spans="1:32" ht="15.75">
      <c r="H41" s="95"/>
      <c r="I41" s="25" t="s">
        <v>53</v>
      </c>
      <c r="J41" s="81" t="s">
        <v>135</v>
      </c>
      <c r="K41" s="228"/>
      <c r="L41" s="227">
        <v>0</v>
      </c>
      <c r="M41" s="383"/>
      <c r="N41" s="380">
        <v>0</v>
      </c>
      <c r="O41" s="28"/>
      <c r="P41" s="75">
        <f t="shared" si="0"/>
        <v>0</v>
      </c>
      <c r="Q41" s="218"/>
      <c r="R41" s="11">
        <f t="shared" si="1"/>
        <v>0</v>
      </c>
      <c r="S41" s="107"/>
      <c r="T41" s="5"/>
      <c r="V41" s="375">
        <v>20</v>
      </c>
      <c r="W41" s="376">
        <f>+V41/7*6</f>
        <v>17.142857142857142</v>
      </c>
    </row>
    <row r="42" spans="1:32" ht="15.75">
      <c r="H42" s="81"/>
      <c r="I42" s="120" t="s">
        <v>12</v>
      </c>
      <c r="J42" s="121" t="s">
        <v>114</v>
      </c>
      <c r="K42" s="122"/>
      <c r="L42" s="15">
        <v>0</v>
      </c>
      <c r="M42" s="384"/>
      <c r="N42" s="385">
        <f>3*M42</f>
        <v>0</v>
      </c>
      <c r="O42" s="122">
        <v>25</v>
      </c>
      <c r="P42" s="15">
        <f t="shared" si="0"/>
        <v>150</v>
      </c>
      <c r="Q42" s="222"/>
      <c r="R42" s="362">
        <f t="shared" si="1"/>
        <v>150</v>
      </c>
      <c r="S42" s="363"/>
      <c r="T42" s="5"/>
      <c r="V42" s="375">
        <v>8</v>
      </c>
      <c r="W42" s="377">
        <f>+W41-W40</f>
        <v>6.8571428571428577</v>
      </c>
    </row>
    <row r="43" spans="1:32">
      <c r="I43" s="13"/>
      <c r="J43" s="14"/>
      <c r="K43" s="234">
        <f t="shared" ref="K43:S43" si="3">SUM(K4:K42)</f>
        <v>0</v>
      </c>
      <c r="L43" s="235">
        <f t="shared" si="3"/>
        <v>0</v>
      </c>
      <c r="M43" s="386">
        <f t="shared" si="3"/>
        <v>0</v>
      </c>
      <c r="N43" s="387">
        <f t="shared" si="3"/>
        <v>0</v>
      </c>
      <c r="O43" s="77">
        <f t="shared" si="3"/>
        <v>509</v>
      </c>
      <c r="P43" s="78">
        <f t="shared" si="3"/>
        <v>2844</v>
      </c>
      <c r="Q43" s="323">
        <f t="shared" si="3"/>
        <v>0</v>
      </c>
      <c r="R43" s="78">
        <f t="shared" si="3"/>
        <v>2844</v>
      </c>
      <c r="S43" s="102">
        <f t="shared" si="3"/>
        <v>0</v>
      </c>
      <c r="T43" s="5"/>
    </row>
    <row r="44" spans="1:32">
      <c r="J44" s="200">
        <f ca="1">TODAY()</f>
        <v>43825</v>
      </c>
      <c r="K44" s="41"/>
      <c r="M44" s="42"/>
      <c r="N44" s="41"/>
      <c r="O44" s="45" t="s">
        <v>81</v>
      </c>
      <c r="Q44" s="42"/>
      <c r="R44" s="45">
        <f>+R5+R7+R9+R13+R14+R18+R27+R37</f>
        <v>396</v>
      </c>
      <c r="T44" s="5"/>
    </row>
    <row r="45" spans="1:32">
      <c r="L45" s="43"/>
      <c r="M45" s="44"/>
      <c r="N45" s="125"/>
      <c r="O45" s="43" t="s">
        <v>91</v>
      </c>
      <c r="P45" s="114">
        <v>2622</v>
      </c>
      <c r="Q45" s="110" t="s">
        <v>58</v>
      </c>
      <c r="R45" s="111">
        <f>+R43-R44</f>
        <v>2448</v>
      </c>
      <c r="S45" s="109"/>
      <c r="T45" s="5"/>
    </row>
    <row r="46" spans="1:32">
      <c r="P46" s="19"/>
      <c r="T46" s="5"/>
      <c r="AC46">
        <v>4</v>
      </c>
    </row>
    <row r="47" spans="1:32" ht="15" customHeight="1">
      <c r="I47" s="330" t="s">
        <v>351</v>
      </c>
      <c r="P47" s="1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I48" s="331" t="s">
        <v>352</v>
      </c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30" t="s">
        <v>481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30" t="s">
        <v>482</v>
      </c>
      <c r="P50" s="19"/>
      <c r="T50" s="5"/>
    </row>
    <row r="51" spans="9:29">
      <c r="I51" s="330" t="s">
        <v>483</v>
      </c>
      <c r="P51" s="19"/>
    </row>
    <row r="52" spans="9:29">
      <c r="I52" s="330" t="s">
        <v>355</v>
      </c>
      <c r="P52" s="19"/>
      <c r="V52" s="59"/>
      <c r="W52" s="60"/>
      <c r="X52" s="61"/>
    </row>
    <row r="53" spans="9:29">
      <c r="U53" s="58"/>
      <c r="V53" s="59"/>
      <c r="W53" s="60"/>
      <c r="X53" s="61"/>
    </row>
    <row r="54" spans="9:29">
      <c r="U54" s="58"/>
      <c r="V54" s="59"/>
      <c r="W54" s="60"/>
      <c r="X54" s="61"/>
    </row>
    <row r="55" spans="9:29">
      <c r="U55" s="58"/>
      <c r="V55" s="59"/>
      <c r="W55" s="60"/>
      <c r="X55" s="69"/>
    </row>
    <row r="56" spans="9:29">
      <c r="U56" s="58"/>
      <c r="V56" s="59"/>
      <c r="W56" s="60"/>
      <c r="X56" s="60"/>
    </row>
    <row r="57" spans="9:29">
      <c r="U57" s="58"/>
      <c r="V57" s="59"/>
      <c r="W57" s="60"/>
      <c r="X57" s="60"/>
    </row>
    <row r="58" spans="9:29">
      <c r="U58" s="58"/>
      <c r="V58" s="59"/>
      <c r="W58" s="62"/>
      <c r="X58" s="60"/>
    </row>
    <row r="59" spans="9:29">
      <c r="U59" s="58"/>
      <c r="V59" s="59"/>
      <c r="W59" s="62"/>
      <c r="X59" s="60"/>
    </row>
    <row r="60" spans="9:29">
      <c r="U60" s="64"/>
      <c r="V60" s="59"/>
      <c r="W60" s="60"/>
      <c r="X60" s="60"/>
    </row>
    <row r="61" spans="9:29">
      <c r="U61" s="58"/>
      <c r="V61" s="66"/>
      <c r="W61" s="67"/>
      <c r="X61" s="60"/>
    </row>
    <row r="62" spans="9:29">
      <c r="U62" s="60"/>
      <c r="V62" s="59"/>
      <c r="W62" s="60"/>
    </row>
    <row r="63" spans="9:29">
      <c r="U63" s="60"/>
      <c r="V63" s="59"/>
      <c r="W63" s="60"/>
    </row>
    <row r="64" spans="9:29">
      <c r="U64" s="60"/>
      <c r="V64" s="59"/>
      <c r="W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</sheetData>
  <mergeCells count="3">
    <mergeCell ref="I2:R2"/>
    <mergeCell ref="T2:V2"/>
    <mergeCell ref="AC14:AC15"/>
  </mergeCells>
  <conditionalFormatting sqref="R4">
    <cfRule type="cellIs" dxfId="112" priority="2" operator="lessThanOrEqual">
      <formula>0</formula>
    </cfRule>
  </conditionalFormatting>
  <conditionalFormatting sqref="R4:R42">
    <cfRule type="cellIs" dxfId="111" priority="1" operator="greaterThan">
      <formula>0</formula>
    </cfRule>
  </conditionalFormatting>
  <printOptions horizontalCentered="1"/>
  <pageMargins left="0" right="0" top="1.34" bottom="0" header="0" footer="0"/>
  <pageSetup paperSize="9" scale="95" orientation="portrait" r:id="rId1"/>
  <ignoredErrors>
    <ignoredError sqref="L17:N29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67"/>
  <sheetViews>
    <sheetView zoomScale="85" zoomScaleNormal="85" workbookViewId="0">
      <pane xSplit="10" ySplit="3" topLeftCell="K4" activePane="bottomRight" state="frozen"/>
      <selection pane="topRight" activeCell="K1" sqref="K1"/>
      <selection pane="bottomLeft" activeCell="A5" sqref="A5"/>
      <selection pane="bottomRight" activeCell="P34" sqref="P34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5.140625" customWidth="1"/>
    <col min="9" max="9" width="7.42578125" customWidth="1"/>
    <col min="10" max="10" width="28.140625" customWidth="1"/>
    <col min="11" max="11" width="1.7109375" customWidth="1"/>
    <col min="12" max="12" width="1.5703125" customWidth="1"/>
    <col min="13" max="13" width="5.7109375" customWidth="1"/>
    <col min="14" max="14" width="9.7109375" customWidth="1"/>
    <col min="15" max="15" width="6.85546875" customWidth="1"/>
    <col min="16" max="16" width="12.140625" customWidth="1"/>
    <col min="17" max="17" width="7.28515625" customWidth="1"/>
    <col min="18" max="18" width="15.7109375" customWidth="1"/>
    <col min="19" max="19" width="3.7109375" style="103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 ht="14.1" customHeight="1">
      <c r="H2" s="83"/>
      <c r="I2" s="429" t="s">
        <v>458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430">
        <f ca="1">+TODAY()</f>
        <v>43825</v>
      </c>
      <c r="U2" s="431"/>
      <c r="V2" s="431"/>
    </row>
    <row r="3" spans="8:29" ht="36.950000000000003" customHeight="1">
      <c r="H3" s="83" t="s">
        <v>143</v>
      </c>
      <c r="I3" s="268" t="s">
        <v>249</v>
      </c>
      <c r="J3" s="267" t="s">
        <v>248</v>
      </c>
      <c r="K3" s="225" t="s">
        <v>15</v>
      </c>
      <c r="L3" s="225" t="s">
        <v>208</v>
      </c>
      <c r="M3" s="198" t="s">
        <v>15</v>
      </c>
      <c r="N3" s="198" t="s">
        <v>471</v>
      </c>
      <c r="O3" s="87" t="s">
        <v>15</v>
      </c>
      <c r="P3" s="87" t="s">
        <v>467</v>
      </c>
      <c r="Q3" s="99" t="s">
        <v>468</v>
      </c>
      <c r="R3" s="88" t="s">
        <v>103</v>
      </c>
      <c r="S3" s="139" t="s">
        <v>104</v>
      </c>
      <c r="T3" s="89"/>
      <c r="U3" s="83"/>
      <c r="V3" s="83"/>
    </row>
    <row r="4" spans="8:29">
      <c r="H4" s="83"/>
      <c r="I4" s="126" t="s">
        <v>5</v>
      </c>
      <c r="J4" s="80" t="s">
        <v>117</v>
      </c>
      <c r="K4" s="226"/>
      <c r="L4" s="227">
        <f>+K4*3</f>
        <v>0</v>
      </c>
      <c r="M4" s="162"/>
      <c r="N4" s="163">
        <v>0</v>
      </c>
      <c r="O4" s="76">
        <v>23</v>
      </c>
      <c r="P4" s="75">
        <f t="shared" ref="P4:P42" si="0">IF(O4&gt;25,150,(O4)*6)</f>
        <v>138</v>
      </c>
      <c r="Q4" s="217"/>
      <c r="R4" s="11">
        <f t="shared" ref="R4:R42" si="1">+L4+N4+P4+Q4</f>
        <v>138</v>
      </c>
      <c r="S4" s="106"/>
      <c r="T4" s="5"/>
      <c r="U4" s="258">
        <v>815.2</v>
      </c>
      <c r="V4" s="259">
        <v>94</v>
      </c>
      <c r="W4" s="260">
        <v>721.2</v>
      </c>
      <c r="X4" s="333" t="s">
        <v>215</v>
      </c>
      <c r="Y4" s="266"/>
    </row>
    <row r="5" spans="8:29">
      <c r="H5" s="242" t="s">
        <v>227</v>
      </c>
      <c r="I5" s="188" t="s">
        <v>64</v>
      </c>
      <c r="J5" s="242" t="s">
        <v>138</v>
      </c>
      <c r="K5" s="192"/>
      <c r="L5" s="193">
        <f>+K5*3</f>
        <v>0</v>
      </c>
      <c r="M5" s="160"/>
      <c r="N5" s="161">
        <v>0</v>
      </c>
      <c r="O5" s="192"/>
      <c r="P5" s="193">
        <f t="shared" si="0"/>
        <v>0</v>
      </c>
      <c r="Q5" s="221"/>
      <c r="R5" s="193">
        <f t="shared" si="1"/>
        <v>0</v>
      </c>
      <c r="S5" s="197"/>
      <c r="T5" s="5"/>
      <c r="U5" s="326">
        <f>+V5+W5</f>
        <v>813.84359400998335</v>
      </c>
      <c r="V5" s="256">
        <f>+V4*W5/W4</f>
        <v>93.843594009983349</v>
      </c>
      <c r="W5" s="261">
        <v>720</v>
      </c>
      <c r="X5" s="334" t="s">
        <v>381</v>
      </c>
    </row>
    <row r="6" spans="8:29">
      <c r="H6" s="142"/>
      <c r="I6" s="269" t="s">
        <v>387</v>
      </c>
      <c r="J6" s="270" t="s">
        <v>388</v>
      </c>
      <c r="K6" s="271"/>
      <c r="L6" s="272">
        <v>0</v>
      </c>
      <c r="M6" s="164"/>
      <c r="N6" s="163">
        <v>0</v>
      </c>
      <c r="O6" s="271">
        <v>7</v>
      </c>
      <c r="P6" s="272">
        <f t="shared" si="0"/>
        <v>42</v>
      </c>
      <c r="Q6" s="273"/>
      <c r="R6" s="272">
        <f t="shared" si="1"/>
        <v>42</v>
      </c>
      <c r="S6" s="274"/>
      <c r="T6" s="5"/>
      <c r="U6" s="32">
        <f>+U4-U5+0.01</f>
        <v>1.3664059900166967</v>
      </c>
      <c r="V6" s="47"/>
      <c r="W6" s="33"/>
      <c r="X6" s="262" t="s">
        <v>59</v>
      </c>
    </row>
    <row r="7" spans="8:29">
      <c r="H7" s="242" t="s">
        <v>227</v>
      </c>
      <c r="I7" s="188" t="s">
        <v>2</v>
      </c>
      <c r="J7" s="242" t="s">
        <v>107</v>
      </c>
      <c r="K7" s="192"/>
      <c r="L7" s="193">
        <f>+K7*3</f>
        <v>0</v>
      </c>
      <c r="M7" s="160"/>
      <c r="N7" s="161">
        <f>+M7*3</f>
        <v>0</v>
      </c>
      <c r="O7" s="192">
        <v>24</v>
      </c>
      <c r="P7" s="193">
        <f t="shared" si="0"/>
        <v>144</v>
      </c>
      <c r="Q7" s="221"/>
      <c r="R7" s="193">
        <f t="shared" si="1"/>
        <v>144</v>
      </c>
      <c r="S7" s="197"/>
      <c r="T7" s="5"/>
      <c r="U7" s="34">
        <v>150</v>
      </c>
      <c r="V7" s="335">
        <f>+U7-U6</f>
        <v>148.63359400998331</v>
      </c>
      <c r="W7" s="39" t="s">
        <v>63</v>
      </c>
      <c r="X7" s="263">
        <f>150-V7</f>
        <v>1.3664059900166876</v>
      </c>
    </row>
    <row r="8" spans="8:29">
      <c r="H8" s="95"/>
      <c r="I8" s="25" t="s">
        <v>42</v>
      </c>
      <c r="J8" s="81" t="s">
        <v>119</v>
      </c>
      <c r="K8" s="228"/>
      <c r="L8" s="227">
        <f>+K8*3</f>
        <v>0</v>
      </c>
      <c r="M8" s="164"/>
      <c r="N8" s="163">
        <f>+M8*3</f>
        <v>0</v>
      </c>
      <c r="O8" s="28">
        <v>20</v>
      </c>
      <c r="P8" s="75">
        <f t="shared" si="0"/>
        <v>120</v>
      </c>
      <c r="Q8" s="374"/>
      <c r="R8" s="11">
        <f t="shared" si="1"/>
        <v>120</v>
      </c>
      <c r="S8" s="107"/>
      <c r="T8" s="5"/>
      <c r="X8" s="37"/>
    </row>
    <row r="9" spans="8:29" ht="15" customHeight="1">
      <c r="H9" s="251" t="s">
        <v>50</v>
      </c>
      <c r="I9" s="275" t="s">
        <v>1</v>
      </c>
      <c r="J9" s="276" t="s">
        <v>106</v>
      </c>
      <c r="K9" s="277"/>
      <c r="L9" s="278">
        <f>3*K9</f>
        <v>0</v>
      </c>
      <c r="M9" s="160"/>
      <c r="N9" s="161">
        <f>3*M9</f>
        <v>0</v>
      </c>
      <c r="O9" s="277"/>
      <c r="P9" s="278">
        <f t="shared" si="0"/>
        <v>0</v>
      </c>
      <c r="Q9" s="279"/>
      <c r="R9" s="278">
        <f t="shared" si="1"/>
        <v>0</v>
      </c>
      <c r="S9" s="280"/>
      <c r="T9" s="5"/>
      <c r="U9" s="258">
        <v>988</v>
      </c>
      <c r="V9" s="259">
        <v>118.76</v>
      </c>
      <c r="W9" s="260">
        <v>869.24</v>
      </c>
      <c r="X9" s="333" t="s">
        <v>349</v>
      </c>
      <c r="Y9" s="266"/>
    </row>
    <row r="10" spans="8:29">
      <c r="H10" s="95"/>
      <c r="I10" s="25" t="s">
        <v>56</v>
      </c>
      <c r="J10" s="81" t="s">
        <v>136</v>
      </c>
      <c r="K10" s="228"/>
      <c r="L10" s="227">
        <v>0</v>
      </c>
      <c r="M10" s="164"/>
      <c r="N10" s="163">
        <f>3*M10</f>
        <v>0</v>
      </c>
      <c r="O10" s="28">
        <v>29</v>
      </c>
      <c r="P10" s="75">
        <f t="shared" si="0"/>
        <v>150</v>
      </c>
      <c r="Q10" s="374"/>
      <c r="R10" s="11">
        <f t="shared" si="1"/>
        <v>150</v>
      </c>
      <c r="S10" s="107"/>
      <c r="T10" s="5"/>
      <c r="U10" s="326">
        <f>+V10+W10</f>
        <v>935.44245547834896</v>
      </c>
      <c r="V10" s="256">
        <f>+V9*W10/W9</f>
        <v>112.44245547834892</v>
      </c>
      <c r="W10" s="261">
        <v>823</v>
      </c>
      <c r="X10" s="334" t="s">
        <v>348</v>
      </c>
    </row>
    <row r="11" spans="8:29">
      <c r="H11" s="95"/>
      <c r="I11" s="25" t="s">
        <v>16</v>
      </c>
      <c r="J11" s="81" t="s">
        <v>113</v>
      </c>
      <c r="K11" s="228"/>
      <c r="L11" s="227">
        <v>0</v>
      </c>
      <c r="M11" s="164">
        <v>13</v>
      </c>
      <c r="N11" s="163">
        <f>3*M11</f>
        <v>39</v>
      </c>
      <c r="O11" s="28"/>
      <c r="P11" s="75">
        <f t="shared" si="0"/>
        <v>0</v>
      </c>
      <c r="Q11" s="374"/>
      <c r="R11" s="11">
        <f t="shared" si="1"/>
        <v>39</v>
      </c>
      <c r="S11" s="107"/>
      <c r="T11" s="5"/>
      <c r="U11" s="32">
        <f>+U9-U10</f>
        <v>52.557544521651039</v>
      </c>
      <c r="V11" s="47"/>
      <c r="W11" s="33"/>
      <c r="X11" s="262" t="s">
        <v>59</v>
      </c>
    </row>
    <row r="12" spans="8:29">
      <c r="H12" s="83"/>
      <c r="I12" s="25" t="s">
        <v>20</v>
      </c>
      <c r="J12" s="81" t="s">
        <v>195</v>
      </c>
      <c r="K12" s="228"/>
      <c r="L12" s="227">
        <f>+K12*3</f>
        <v>0</v>
      </c>
      <c r="M12" s="164"/>
      <c r="N12" s="163">
        <f>+M12*3</f>
        <v>0</v>
      </c>
      <c r="O12" s="74">
        <v>16</v>
      </c>
      <c r="P12" s="75">
        <f t="shared" si="0"/>
        <v>96</v>
      </c>
      <c r="Q12" s="217"/>
      <c r="R12" s="9">
        <f t="shared" si="1"/>
        <v>96</v>
      </c>
      <c r="S12" s="107"/>
      <c r="T12" s="5"/>
      <c r="U12" s="34">
        <v>150</v>
      </c>
      <c r="V12" s="38">
        <f>+U12-U11</f>
        <v>97.442455478348961</v>
      </c>
      <c r="W12" s="39" t="s">
        <v>63</v>
      </c>
      <c r="X12" s="263">
        <f>150-V12</f>
        <v>52.557544521651039</v>
      </c>
    </row>
    <row r="13" spans="8:29">
      <c r="H13" s="251" t="s">
        <v>50</v>
      </c>
      <c r="I13" s="275" t="s">
        <v>459</v>
      </c>
      <c r="J13" s="276" t="s">
        <v>460</v>
      </c>
      <c r="K13" s="277"/>
      <c r="L13" s="278">
        <v>0</v>
      </c>
      <c r="M13" s="160"/>
      <c r="N13" s="161">
        <v>0</v>
      </c>
      <c r="O13" s="277">
        <v>16</v>
      </c>
      <c r="P13" s="278">
        <f t="shared" si="0"/>
        <v>96</v>
      </c>
      <c r="Q13" s="374"/>
      <c r="R13" s="278">
        <f t="shared" si="1"/>
        <v>96</v>
      </c>
      <c r="S13" s="280"/>
      <c r="T13" s="5"/>
      <c r="U13" s="10"/>
      <c r="X13" s="37"/>
    </row>
    <row r="14" spans="8:29">
      <c r="H14" s="251" t="s">
        <v>50</v>
      </c>
      <c r="I14" s="275" t="s">
        <v>272</v>
      </c>
      <c r="J14" s="276" t="s">
        <v>271</v>
      </c>
      <c r="K14" s="277"/>
      <c r="L14" s="278">
        <v>0</v>
      </c>
      <c r="M14" s="160"/>
      <c r="N14" s="161">
        <v>0</v>
      </c>
      <c r="O14" s="277"/>
      <c r="P14" s="278">
        <f t="shared" si="0"/>
        <v>0</v>
      </c>
      <c r="Q14" s="279"/>
      <c r="R14" s="278">
        <f t="shared" si="1"/>
        <v>0</v>
      </c>
      <c r="S14" s="280"/>
      <c r="T14" s="5"/>
      <c r="U14" s="258">
        <v>880</v>
      </c>
      <c r="V14" s="259">
        <v>114.4</v>
      </c>
      <c r="W14" s="327">
        <v>765.6</v>
      </c>
      <c r="X14" s="100"/>
      <c r="Y14" s="266"/>
      <c r="Z14" s="311" t="s">
        <v>291</v>
      </c>
      <c r="AA14" s="177"/>
      <c r="AB14" s="178"/>
      <c r="AC14" s="432" t="s">
        <v>290</v>
      </c>
    </row>
    <row r="15" spans="8:29">
      <c r="H15" s="95"/>
      <c r="I15" s="25" t="s">
        <v>25</v>
      </c>
      <c r="J15" s="81" t="s">
        <v>118</v>
      </c>
      <c r="K15" s="228"/>
      <c r="L15" s="227">
        <f>+K15*3</f>
        <v>0</v>
      </c>
      <c r="M15" s="164"/>
      <c r="N15" s="163">
        <f>+M15*3</f>
        <v>0</v>
      </c>
      <c r="O15" s="28"/>
      <c r="P15" s="75">
        <f t="shared" si="0"/>
        <v>0</v>
      </c>
      <c r="Q15" s="218"/>
      <c r="R15" s="11">
        <f t="shared" si="1"/>
        <v>0</v>
      </c>
      <c r="S15" s="107"/>
      <c r="T15" s="5"/>
      <c r="U15" s="326">
        <f>+V15+W15</f>
        <v>945.97701149425291</v>
      </c>
      <c r="V15" s="256">
        <f>+V14*W15/W14</f>
        <v>122.97701149425289</v>
      </c>
      <c r="W15" s="261">
        <v>823</v>
      </c>
      <c r="X15" s="36" t="s">
        <v>350</v>
      </c>
      <c r="Z15" s="312" t="s">
        <v>292</v>
      </c>
      <c r="AA15" s="313" t="s">
        <v>293</v>
      </c>
      <c r="AB15" s="312" t="s">
        <v>277</v>
      </c>
      <c r="AC15" s="433"/>
    </row>
    <row r="16" spans="8:29">
      <c r="H16" s="95"/>
      <c r="I16" s="25" t="s">
        <v>41</v>
      </c>
      <c r="J16" s="81" t="s">
        <v>112</v>
      </c>
      <c r="K16" s="228"/>
      <c r="L16" s="227">
        <f>+K16*3</f>
        <v>0</v>
      </c>
      <c r="M16" s="164"/>
      <c r="N16" s="163">
        <f>+M16*3</f>
        <v>0</v>
      </c>
      <c r="O16" s="28">
        <v>21</v>
      </c>
      <c r="P16" s="75">
        <f t="shared" si="0"/>
        <v>126</v>
      </c>
      <c r="Q16" s="218"/>
      <c r="R16" s="11">
        <f t="shared" si="1"/>
        <v>126</v>
      </c>
      <c r="S16" s="107"/>
      <c r="T16" s="5"/>
      <c r="U16" s="32">
        <f>+U14-U15</f>
        <v>-65.977011494252906</v>
      </c>
      <c r="V16" s="47"/>
      <c r="W16" s="33"/>
      <c r="X16" s="262" t="s">
        <v>59</v>
      </c>
      <c r="Z16" s="282">
        <v>43673</v>
      </c>
      <c r="AA16" s="317">
        <v>1</v>
      </c>
      <c r="AB16" s="281">
        <v>3</v>
      </c>
      <c r="AC16" s="174" t="s">
        <v>157</v>
      </c>
    </row>
    <row r="17" spans="1:29">
      <c r="A17" s="215"/>
      <c r="H17" s="83"/>
      <c r="I17" s="126" t="s">
        <v>71</v>
      </c>
      <c r="J17" s="80" t="s">
        <v>139</v>
      </c>
      <c r="K17" s="226"/>
      <c r="L17" s="227">
        <f>5*K17</f>
        <v>0</v>
      </c>
      <c r="M17" s="162"/>
      <c r="N17" s="163">
        <f>5*M17</f>
        <v>0</v>
      </c>
      <c r="O17" s="76">
        <v>23</v>
      </c>
      <c r="P17" s="75">
        <f t="shared" si="0"/>
        <v>138</v>
      </c>
      <c r="Q17" s="217"/>
      <c r="R17" s="11">
        <f t="shared" si="1"/>
        <v>138</v>
      </c>
      <c r="S17" s="106"/>
      <c r="T17" s="5"/>
      <c r="U17" s="34">
        <v>150</v>
      </c>
      <c r="V17" s="38">
        <f>+U17-U16</f>
        <v>215.97701149425291</v>
      </c>
      <c r="W17" s="39" t="s">
        <v>63</v>
      </c>
      <c r="X17" s="263">
        <f>150-V17</f>
        <v>-65.977011494252906</v>
      </c>
      <c r="Z17" s="282">
        <f>1+Z16</f>
        <v>43674</v>
      </c>
      <c r="AA17" s="318">
        <v>1</v>
      </c>
      <c r="AB17" s="281">
        <v>5</v>
      </c>
      <c r="AC17" s="33" t="s">
        <v>156</v>
      </c>
    </row>
    <row r="18" spans="1:29">
      <c r="A18" s="215"/>
      <c r="H18" s="242" t="s">
        <v>227</v>
      </c>
      <c r="I18" s="188" t="s">
        <v>28</v>
      </c>
      <c r="J18" s="242" t="s">
        <v>122</v>
      </c>
      <c r="K18" s="192"/>
      <c r="L18" s="193">
        <f>+K18*3</f>
        <v>0</v>
      </c>
      <c r="M18" s="160">
        <v>16</v>
      </c>
      <c r="N18" s="161">
        <f>+M18*3</f>
        <v>48</v>
      </c>
      <c r="O18" s="192"/>
      <c r="P18" s="193">
        <f t="shared" si="0"/>
        <v>0</v>
      </c>
      <c r="Q18" s="221"/>
      <c r="R18" s="193">
        <f t="shared" si="1"/>
        <v>48</v>
      </c>
      <c r="S18" s="197"/>
      <c r="T18" s="5"/>
      <c r="U18" s="10"/>
      <c r="X18" s="37"/>
      <c r="Z18" s="282">
        <f t="shared" ref="Z18:Z26" si="2">1+Z17</f>
        <v>43675</v>
      </c>
      <c r="AA18" s="318">
        <v>1</v>
      </c>
      <c r="AB18" s="281">
        <v>5</v>
      </c>
      <c r="AC18" s="33" t="s">
        <v>151</v>
      </c>
    </row>
    <row r="19" spans="1:29">
      <c r="H19" s="141"/>
      <c r="I19" s="269" t="s">
        <v>270</v>
      </c>
      <c r="J19" s="270" t="s">
        <v>273</v>
      </c>
      <c r="K19" s="271"/>
      <c r="L19" s="272">
        <v>0</v>
      </c>
      <c r="M19" s="164">
        <v>17</v>
      </c>
      <c r="N19" s="163">
        <f>5*M19</f>
        <v>85</v>
      </c>
      <c r="O19" s="271"/>
      <c r="P19" s="272">
        <f t="shared" si="0"/>
        <v>0</v>
      </c>
      <c r="Q19" s="273"/>
      <c r="R19" s="272">
        <f t="shared" si="1"/>
        <v>85</v>
      </c>
      <c r="S19" s="274"/>
      <c r="T19" s="5"/>
      <c r="U19" s="258">
        <v>900</v>
      </c>
      <c r="V19" s="259">
        <f>+U19*0.13</f>
        <v>117</v>
      </c>
      <c r="W19" s="327">
        <f>+V19+U19</f>
        <v>1017</v>
      </c>
      <c r="X19" s="100"/>
      <c r="Y19" s="266"/>
      <c r="Z19" s="282">
        <f t="shared" si="2"/>
        <v>43676</v>
      </c>
      <c r="AA19" s="318">
        <v>1</v>
      </c>
      <c r="AB19" s="281">
        <v>2</v>
      </c>
      <c r="AC19" s="33" t="s">
        <v>152</v>
      </c>
    </row>
    <row r="20" spans="1:29">
      <c r="A20" s="215"/>
      <c r="H20" s="142"/>
      <c r="I20" s="25" t="s">
        <v>4</v>
      </c>
      <c r="J20" s="81" t="s">
        <v>111</v>
      </c>
      <c r="K20" s="228"/>
      <c r="L20" s="227">
        <v>0</v>
      </c>
      <c r="M20" s="164"/>
      <c r="N20" s="163">
        <f>+M20*3</f>
        <v>0</v>
      </c>
      <c r="O20" s="28">
        <v>25</v>
      </c>
      <c r="P20" s="75">
        <f t="shared" si="0"/>
        <v>150</v>
      </c>
      <c r="Q20" s="218"/>
      <c r="R20" s="11">
        <f t="shared" si="1"/>
        <v>150</v>
      </c>
      <c r="S20" s="107"/>
      <c r="T20" s="5"/>
      <c r="U20" s="326">
        <f>+V20+W20</f>
        <v>802.83185840707961</v>
      </c>
      <c r="V20" s="256">
        <f>+V19*W20/W19</f>
        <v>82.83185840707965</v>
      </c>
      <c r="W20" s="261">
        <v>720</v>
      </c>
      <c r="X20" s="36" t="s">
        <v>350</v>
      </c>
      <c r="Z20" s="282">
        <f t="shared" si="2"/>
        <v>43677</v>
      </c>
      <c r="AA20" s="318"/>
      <c r="AB20" s="281"/>
      <c r="AC20" s="33" t="s">
        <v>153</v>
      </c>
    </row>
    <row r="21" spans="1:29">
      <c r="A21" s="215"/>
      <c r="H21" s="142"/>
      <c r="I21" s="25" t="s">
        <v>9</v>
      </c>
      <c r="J21" s="81" t="s">
        <v>128</v>
      </c>
      <c r="K21" s="228"/>
      <c r="L21" s="227">
        <v>0</v>
      </c>
      <c r="M21" s="164"/>
      <c r="N21" s="163">
        <f>3*M21</f>
        <v>0</v>
      </c>
      <c r="O21" s="28">
        <v>18</v>
      </c>
      <c r="P21" s="75">
        <f t="shared" si="0"/>
        <v>108</v>
      </c>
      <c r="Q21" s="374"/>
      <c r="R21" s="11">
        <f t="shared" si="1"/>
        <v>108</v>
      </c>
      <c r="S21" s="107"/>
      <c r="T21" s="5"/>
      <c r="U21" s="32">
        <f>+U19-U20</f>
        <v>97.168141592920392</v>
      </c>
      <c r="V21" s="47"/>
      <c r="W21" s="33"/>
      <c r="X21" s="262" t="s">
        <v>59</v>
      </c>
      <c r="Z21" s="282">
        <f t="shared" si="2"/>
        <v>43678</v>
      </c>
      <c r="AA21" s="318"/>
      <c r="AB21" s="281"/>
      <c r="AC21" s="33" t="s">
        <v>154</v>
      </c>
    </row>
    <row r="22" spans="1:29">
      <c r="A22" s="215"/>
      <c r="H22" s="142"/>
      <c r="I22" s="25" t="s">
        <v>236</v>
      </c>
      <c r="J22" s="96" t="s">
        <v>235</v>
      </c>
      <c r="K22" s="29"/>
      <c r="L22" s="27">
        <v>0</v>
      </c>
      <c r="M22" s="164"/>
      <c r="N22" s="163">
        <v>0</v>
      </c>
      <c r="O22" s="28"/>
      <c r="P22" s="11">
        <f t="shared" si="0"/>
        <v>0</v>
      </c>
      <c r="Q22" s="374"/>
      <c r="R22" s="11">
        <f t="shared" si="1"/>
        <v>0</v>
      </c>
      <c r="S22" s="241"/>
      <c r="T22" s="5"/>
      <c r="U22" s="34">
        <v>150</v>
      </c>
      <c r="V22" s="38">
        <f>+U22-U21</f>
        <v>52.831858407079608</v>
      </c>
      <c r="W22" s="39" t="s">
        <v>63</v>
      </c>
      <c r="X22" s="263">
        <f>150-V22</f>
        <v>97.168141592920392</v>
      </c>
      <c r="Z22" s="282">
        <f t="shared" si="2"/>
        <v>43679</v>
      </c>
      <c r="AA22" s="318"/>
      <c r="AB22" s="281"/>
      <c r="AC22" s="175" t="s">
        <v>155</v>
      </c>
    </row>
    <row r="23" spans="1:29">
      <c r="H23" s="142"/>
      <c r="I23" s="269" t="s">
        <v>328</v>
      </c>
      <c r="J23" s="270" t="s">
        <v>329</v>
      </c>
      <c r="K23" s="271"/>
      <c r="L23" s="272">
        <v>0</v>
      </c>
      <c r="M23" s="164"/>
      <c r="N23" s="163">
        <v>0</v>
      </c>
      <c r="O23" s="271">
        <v>23</v>
      </c>
      <c r="P23" s="272">
        <f t="shared" si="0"/>
        <v>138</v>
      </c>
      <c r="Q23" s="273"/>
      <c r="R23" s="272">
        <f t="shared" si="1"/>
        <v>138</v>
      </c>
      <c r="S23" s="274"/>
      <c r="T23" s="5"/>
      <c r="U23" s="10"/>
      <c r="X23" s="37"/>
      <c r="Z23" s="282">
        <f t="shared" si="2"/>
        <v>43680</v>
      </c>
      <c r="AA23" s="318"/>
      <c r="AB23" s="281"/>
      <c r="AC23" s="61"/>
    </row>
    <row r="24" spans="1:29">
      <c r="A24" s="237"/>
      <c r="B24" s="237"/>
      <c r="C24" s="237"/>
      <c r="D24" s="238"/>
      <c r="E24" s="237"/>
      <c r="F24" s="239"/>
      <c r="G24" s="237"/>
      <c r="H24" s="142"/>
      <c r="I24" s="25" t="s">
        <v>51</v>
      </c>
      <c r="J24" s="96" t="s">
        <v>134</v>
      </c>
      <c r="K24" s="29"/>
      <c r="L24" s="27">
        <f>+K24*3</f>
        <v>0</v>
      </c>
      <c r="M24" s="164"/>
      <c r="N24" s="163">
        <f>+M24*3</f>
        <v>0</v>
      </c>
      <c r="O24" s="28">
        <v>20</v>
      </c>
      <c r="P24" s="11">
        <f t="shared" si="0"/>
        <v>120</v>
      </c>
      <c r="Q24" s="218"/>
      <c r="R24" s="240">
        <f t="shared" si="1"/>
        <v>120</v>
      </c>
      <c r="S24" s="241"/>
      <c r="T24" s="5"/>
      <c r="Z24" s="282">
        <f t="shared" si="2"/>
        <v>43681</v>
      </c>
      <c r="AA24" s="318"/>
      <c r="AB24" s="281"/>
      <c r="AC24" s="61"/>
    </row>
    <row r="25" spans="1:29">
      <c r="A25" s="215"/>
      <c r="H25" s="142"/>
      <c r="I25" s="25" t="s">
        <v>61</v>
      </c>
      <c r="J25" s="96" t="s">
        <v>137</v>
      </c>
      <c r="K25" s="28"/>
      <c r="L25" s="11">
        <f>3*K25</f>
        <v>0</v>
      </c>
      <c r="M25" s="164">
        <v>18</v>
      </c>
      <c r="N25" s="163">
        <f>5*M25</f>
        <v>90</v>
      </c>
      <c r="O25" s="28"/>
      <c r="P25" s="11">
        <f t="shared" si="0"/>
        <v>0</v>
      </c>
      <c r="Q25" s="374"/>
      <c r="R25" s="361">
        <f t="shared" si="1"/>
        <v>90</v>
      </c>
      <c r="S25" s="241"/>
      <c r="T25" s="5"/>
      <c r="U25" s="332" t="s">
        <v>382</v>
      </c>
      <c r="Z25" s="282">
        <f t="shared" si="2"/>
        <v>43682</v>
      </c>
      <c r="AA25" s="318"/>
      <c r="AB25" s="281"/>
      <c r="AC25" s="65"/>
    </row>
    <row r="26" spans="1:29">
      <c r="A26" s="215"/>
      <c r="H26" s="95"/>
      <c r="I26" s="25" t="s">
        <v>14</v>
      </c>
      <c r="J26" s="81" t="s">
        <v>125</v>
      </c>
      <c r="K26" s="228"/>
      <c r="L26" s="227">
        <f>+K26*3</f>
        <v>0</v>
      </c>
      <c r="M26" s="164"/>
      <c r="N26" s="163">
        <f>3*M26</f>
        <v>0</v>
      </c>
      <c r="O26" s="28">
        <v>21</v>
      </c>
      <c r="P26" s="75">
        <f t="shared" si="0"/>
        <v>126</v>
      </c>
      <c r="Q26" s="374"/>
      <c r="R26" s="11">
        <f t="shared" si="1"/>
        <v>126</v>
      </c>
      <c r="S26" s="107"/>
      <c r="T26" s="5"/>
      <c r="Z26" s="282">
        <f t="shared" si="2"/>
        <v>43683</v>
      </c>
      <c r="AA26" s="319"/>
      <c r="AB26" s="281"/>
      <c r="AC26" s="66"/>
    </row>
    <row r="27" spans="1:29">
      <c r="A27" s="215"/>
      <c r="H27" s="242" t="s">
        <v>227</v>
      </c>
      <c r="I27" s="188" t="s">
        <v>79</v>
      </c>
      <c r="J27" s="242" t="s">
        <v>110</v>
      </c>
      <c r="K27" s="192"/>
      <c r="L27" s="193">
        <v>0</v>
      </c>
      <c r="M27" s="160"/>
      <c r="N27" s="161">
        <v>0</v>
      </c>
      <c r="O27" s="192">
        <v>21</v>
      </c>
      <c r="P27" s="193">
        <f t="shared" si="0"/>
        <v>126</v>
      </c>
      <c r="Q27" s="221"/>
      <c r="R27" s="193">
        <f t="shared" si="1"/>
        <v>126</v>
      </c>
      <c r="S27" s="197"/>
      <c r="T27" s="5"/>
      <c r="U27" s="287" t="s">
        <v>347</v>
      </c>
      <c r="Z27" s="314" t="s">
        <v>150</v>
      </c>
      <c r="AA27" s="315">
        <f>SUM(AA16:AA26)</f>
        <v>4</v>
      </c>
      <c r="AB27" s="316" t="s">
        <v>148</v>
      </c>
      <c r="AC27" s="68"/>
    </row>
    <row r="28" spans="1:29">
      <c r="H28" s="83"/>
      <c r="I28" s="269" t="s">
        <v>214</v>
      </c>
      <c r="J28" s="270" t="s">
        <v>215</v>
      </c>
      <c r="K28" s="271"/>
      <c r="L28" s="272">
        <v>0</v>
      </c>
      <c r="M28" s="164">
        <v>8</v>
      </c>
      <c r="N28" s="163">
        <f>3*M28</f>
        <v>24</v>
      </c>
      <c r="O28" s="271"/>
      <c r="P28" s="272">
        <f t="shared" si="0"/>
        <v>0</v>
      </c>
      <c r="Q28" s="374"/>
      <c r="R28" s="272">
        <f t="shared" si="1"/>
        <v>24</v>
      </c>
      <c r="S28" s="274"/>
      <c r="T28" s="5"/>
      <c r="Z28" s="184"/>
      <c r="AA28" s="171">
        <f>SUM(AB16:AB26)</f>
        <v>15</v>
      </c>
      <c r="AB28" s="185" t="s">
        <v>149</v>
      </c>
      <c r="AC28" s="69"/>
    </row>
    <row r="29" spans="1:29" ht="16.5">
      <c r="A29" s="237"/>
      <c r="B29" s="237"/>
      <c r="C29" s="237"/>
      <c r="D29" s="238"/>
      <c r="E29" s="237"/>
      <c r="F29" s="239"/>
      <c r="G29" s="237"/>
      <c r="H29" s="142"/>
      <c r="I29" s="25" t="s">
        <v>45</v>
      </c>
      <c r="J29" s="96" t="s">
        <v>133</v>
      </c>
      <c r="K29" s="29"/>
      <c r="L29" s="27">
        <f>+K29*3</f>
        <v>0</v>
      </c>
      <c r="M29" s="164"/>
      <c r="N29" s="163">
        <f>+M29*3</f>
        <v>0</v>
      </c>
      <c r="O29" s="28">
        <f>22+36</f>
        <v>58</v>
      </c>
      <c r="P29" s="11">
        <f>IF(O29&gt;25,150,(O29)*6)+132</f>
        <v>282</v>
      </c>
      <c r="Q29" s="218"/>
      <c r="R29" s="240">
        <f t="shared" si="1"/>
        <v>282</v>
      </c>
      <c r="S29" s="241"/>
      <c r="T29" s="5"/>
      <c r="Z29" s="186" t="s">
        <v>160</v>
      </c>
      <c r="AA29" s="284">
        <f>+AA28/AA27</f>
        <v>3.75</v>
      </c>
      <c r="AB29" s="173" t="s">
        <v>150</v>
      </c>
      <c r="AC29" s="65"/>
    </row>
    <row r="30" spans="1:29">
      <c r="A30" s="215"/>
      <c r="H30" s="142"/>
      <c r="I30" s="25" t="s">
        <v>13</v>
      </c>
      <c r="J30" s="81" t="s">
        <v>319</v>
      </c>
      <c r="K30" s="228"/>
      <c r="L30" s="227">
        <f>3*K30</f>
        <v>0</v>
      </c>
      <c r="M30" s="164">
        <v>16</v>
      </c>
      <c r="N30" s="163">
        <f>3*M30</f>
        <v>48</v>
      </c>
      <c r="O30" s="28"/>
      <c r="P30" s="75">
        <f t="shared" si="0"/>
        <v>0</v>
      </c>
      <c r="Q30" s="374"/>
      <c r="R30" s="57">
        <f t="shared" si="1"/>
        <v>48</v>
      </c>
      <c r="S30" s="107"/>
      <c r="T30" s="5"/>
    </row>
    <row r="31" spans="1:29">
      <c r="A31" s="215"/>
      <c r="H31" s="95"/>
      <c r="I31" s="25" t="s">
        <v>31</v>
      </c>
      <c r="J31" s="81" t="s">
        <v>127</v>
      </c>
      <c r="K31" s="228"/>
      <c r="L31" s="227">
        <v>0</v>
      </c>
      <c r="M31" s="164"/>
      <c r="N31" s="163">
        <v>0</v>
      </c>
      <c r="O31" s="28">
        <v>22</v>
      </c>
      <c r="P31" s="75">
        <f t="shared" si="0"/>
        <v>132</v>
      </c>
      <c r="Q31" s="374"/>
      <c r="R31" s="11">
        <f t="shared" si="1"/>
        <v>132</v>
      </c>
      <c r="S31" s="107"/>
      <c r="T31" s="5"/>
    </row>
    <row r="32" spans="1:29">
      <c r="A32" s="215"/>
      <c r="H32" s="95"/>
      <c r="I32" s="25" t="s">
        <v>30</v>
      </c>
      <c r="J32" s="81" t="s">
        <v>126</v>
      </c>
      <c r="K32" s="228"/>
      <c r="L32" s="227">
        <f>+K32*3</f>
        <v>0</v>
      </c>
      <c r="M32" s="164"/>
      <c r="N32" s="163">
        <f>+M32*3</f>
        <v>0</v>
      </c>
      <c r="O32" s="28">
        <v>16</v>
      </c>
      <c r="P32" s="75">
        <f t="shared" si="0"/>
        <v>96</v>
      </c>
      <c r="Q32" s="218"/>
      <c r="R32" s="320">
        <f t="shared" si="1"/>
        <v>96</v>
      </c>
      <c r="S32" s="107"/>
      <c r="T32" s="5"/>
    </row>
    <row r="33" spans="1:32" s="4" customFormat="1">
      <c r="A33" s="215"/>
      <c r="B33"/>
      <c r="C33"/>
      <c r="D33" s="1"/>
      <c r="E33"/>
      <c r="F33" s="2"/>
      <c r="G33"/>
      <c r="H33" s="83"/>
      <c r="I33" s="269" t="s">
        <v>186</v>
      </c>
      <c r="J33" s="270" t="s">
        <v>187</v>
      </c>
      <c r="K33" s="271"/>
      <c r="L33" s="272">
        <v>0</v>
      </c>
      <c r="M33" s="164"/>
      <c r="N33" s="163">
        <v>0</v>
      </c>
      <c r="O33" s="271"/>
      <c r="P33" s="272">
        <f t="shared" si="0"/>
        <v>0</v>
      </c>
      <c r="Q33" s="273"/>
      <c r="R33" s="272">
        <f t="shared" si="1"/>
        <v>0</v>
      </c>
      <c r="S33" s="274"/>
      <c r="T33" s="5"/>
      <c r="U33"/>
      <c r="V33" s="46"/>
      <c r="W33"/>
      <c r="X33"/>
      <c r="Y33"/>
      <c r="Z33"/>
      <c r="AA33"/>
      <c r="AB33"/>
      <c r="AC33"/>
      <c r="AD33"/>
      <c r="AE33"/>
      <c r="AF33"/>
    </row>
    <row r="34" spans="1:32">
      <c r="A34" s="215"/>
      <c r="H34" s="83"/>
      <c r="I34" s="25" t="s">
        <v>17</v>
      </c>
      <c r="J34" s="81" t="s">
        <v>123</v>
      </c>
      <c r="K34" s="228"/>
      <c r="L34" s="227">
        <f>+K34*3</f>
        <v>0</v>
      </c>
      <c r="M34" s="164"/>
      <c r="N34" s="163">
        <v>0</v>
      </c>
      <c r="O34" s="74">
        <f>23+32</f>
        <v>55</v>
      </c>
      <c r="P34" s="75">
        <f>IF(O34&gt;25,150,(O34)*6)+138</f>
        <v>288</v>
      </c>
      <c r="Q34" s="218"/>
      <c r="R34" s="11">
        <f t="shared" si="1"/>
        <v>288</v>
      </c>
      <c r="S34" s="107"/>
      <c r="T34" s="5"/>
    </row>
    <row r="35" spans="1:32">
      <c r="A35" s="215"/>
      <c r="H35" s="83"/>
      <c r="I35" s="25" t="s">
        <v>60</v>
      </c>
      <c r="J35" s="81" t="s">
        <v>132</v>
      </c>
      <c r="K35" s="228"/>
      <c r="L35" s="227">
        <v>0</v>
      </c>
      <c r="M35" s="164"/>
      <c r="N35" s="163">
        <v>0</v>
      </c>
      <c r="O35" s="74"/>
      <c r="P35" s="75">
        <f>IF(O35&gt;25,150,(O35)*6)</f>
        <v>0</v>
      </c>
      <c r="Q35" s="218"/>
      <c r="R35" s="11">
        <f>+L35+N35+P35+Q35</f>
        <v>0</v>
      </c>
      <c r="S35" s="107"/>
      <c r="T35" s="5"/>
    </row>
    <row r="36" spans="1:32">
      <c r="H36" s="142"/>
      <c r="I36" s="25" t="s">
        <v>233</v>
      </c>
      <c r="J36" s="81" t="s">
        <v>234</v>
      </c>
      <c r="K36" s="228"/>
      <c r="L36" s="227">
        <v>0</v>
      </c>
      <c r="M36" s="164">
        <v>14</v>
      </c>
      <c r="N36" s="163">
        <f>3*M36</f>
        <v>42</v>
      </c>
      <c r="O36" s="28"/>
      <c r="P36" s="75">
        <f t="shared" si="0"/>
        <v>0</v>
      </c>
      <c r="Q36" s="374"/>
      <c r="R36" s="57">
        <f t="shared" si="1"/>
        <v>42</v>
      </c>
      <c r="S36" s="107"/>
      <c r="T36" s="5"/>
    </row>
    <row r="37" spans="1:32">
      <c r="H37" s="251" t="s">
        <v>50</v>
      </c>
      <c r="I37" s="275" t="s">
        <v>469</v>
      </c>
      <c r="J37" s="276" t="s">
        <v>470</v>
      </c>
      <c r="K37" s="277"/>
      <c r="L37" s="278">
        <v>0</v>
      </c>
      <c r="M37" s="160">
        <v>12</v>
      </c>
      <c r="N37" s="161">
        <v>0</v>
      </c>
      <c r="O37" s="277"/>
      <c r="P37" s="278">
        <f t="shared" ref="P37" si="3">IF(O37&gt;25,150,(O37)*6)</f>
        <v>0</v>
      </c>
      <c r="Q37" s="279"/>
      <c r="R37" s="278">
        <f t="shared" ref="R37" si="4">+L37+N37+P37+Q37</f>
        <v>0</v>
      </c>
      <c r="S37" s="280"/>
      <c r="T37" s="5"/>
    </row>
    <row r="38" spans="1:32">
      <c r="A38" s="215"/>
      <c r="H38" s="95"/>
      <c r="I38" s="25" t="s">
        <v>8</v>
      </c>
      <c r="J38" s="81" t="s">
        <v>120</v>
      </c>
      <c r="K38" s="228"/>
      <c r="L38" s="227">
        <v>0</v>
      </c>
      <c r="M38" s="164">
        <v>11</v>
      </c>
      <c r="N38" s="163">
        <v>0</v>
      </c>
      <c r="O38" s="28"/>
      <c r="P38" s="75">
        <f t="shared" si="0"/>
        <v>0</v>
      </c>
      <c r="Q38" s="218">
        <v>20</v>
      </c>
      <c r="R38" s="11">
        <f t="shared" si="1"/>
        <v>20</v>
      </c>
      <c r="S38" s="107"/>
      <c r="T38" s="5"/>
      <c r="AF38" s="4"/>
    </row>
    <row r="39" spans="1:32">
      <c r="A39" s="215"/>
      <c r="H39" s="95"/>
      <c r="I39" s="25" t="s">
        <v>11</v>
      </c>
      <c r="J39" s="81" t="s">
        <v>130</v>
      </c>
      <c r="K39" s="228"/>
      <c r="L39" s="227">
        <f>+K39*3</f>
        <v>0</v>
      </c>
      <c r="M39" s="164">
        <v>12</v>
      </c>
      <c r="N39" s="163">
        <v>0</v>
      </c>
      <c r="O39" s="28">
        <v>8</v>
      </c>
      <c r="P39" s="75">
        <f t="shared" si="0"/>
        <v>48</v>
      </c>
      <c r="Q39" s="374">
        <v>20</v>
      </c>
      <c r="R39" s="11">
        <f t="shared" si="1"/>
        <v>68</v>
      </c>
      <c r="S39" s="107"/>
      <c r="T39" s="5"/>
    </row>
    <row r="40" spans="1:32" ht="15.75">
      <c r="H40" s="83"/>
      <c r="I40" s="25" t="s">
        <v>6</v>
      </c>
      <c r="J40" s="96" t="s">
        <v>116</v>
      </c>
      <c r="K40" s="228"/>
      <c r="L40" s="227">
        <f>+K40*3</f>
        <v>0</v>
      </c>
      <c r="M40" s="164"/>
      <c r="N40" s="163">
        <f>+M40*3</f>
        <v>0</v>
      </c>
      <c r="O40" s="74">
        <v>18</v>
      </c>
      <c r="P40" s="75">
        <f t="shared" si="0"/>
        <v>108</v>
      </c>
      <c r="Q40" s="220"/>
      <c r="R40" s="11">
        <f t="shared" si="1"/>
        <v>108</v>
      </c>
      <c r="S40" s="107"/>
      <c r="T40" s="5"/>
      <c r="V40" s="375">
        <v>12</v>
      </c>
      <c r="W40" s="376">
        <f>+V40/7*6</f>
        <v>10.285714285714285</v>
      </c>
    </row>
    <row r="41" spans="1:32" ht="15.75">
      <c r="H41" s="95"/>
      <c r="I41" s="25" t="s">
        <v>53</v>
      </c>
      <c r="J41" s="81" t="s">
        <v>135</v>
      </c>
      <c r="K41" s="228"/>
      <c r="L41" s="227">
        <v>0</v>
      </c>
      <c r="M41" s="164"/>
      <c r="N41" s="163">
        <v>0</v>
      </c>
      <c r="O41" s="28"/>
      <c r="P41" s="75">
        <f t="shared" si="0"/>
        <v>0</v>
      </c>
      <c r="Q41" s="218"/>
      <c r="R41" s="11">
        <f t="shared" si="1"/>
        <v>0</v>
      </c>
      <c r="S41" s="107"/>
      <c r="T41" s="5"/>
      <c r="V41" s="375">
        <v>20</v>
      </c>
      <c r="W41" s="376">
        <f>+V41/7*6</f>
        <v>17.142857142857142</v>
      </c>
    </row>
    <row r="42" spans="1:32" ht="15.75">
      <c r="H42" s="81"/>
      <c r="I42" s="120" t="s">
        <v>12</v>
      </c>
      <c r="J42" s="121" t="s">
        <v>114</v>
      </c>
      <c r="K42" s="122"/>
      <c r="L42" s="15">
        <v>0</v>
      </c>
      <c r="M42" s="165"/>
      <c r="N42" s="166">
        <f>3*M42</f>
        <v>0</v>
      </c>
      <c r="O42" s="122">
        <v>22</v>
      </c>
      <c r="P42" s="15">
        <f t="shared" si="0"/>
        <v>132</v>
      </c>
      <c r="Q42" s="222"/>
      <c r="R42" s="362">
        <f t="shared" si="1"/>
        <v>132</v>
      </c>
      <c r="S42" s="363"/>
      <c r="T42" s="5"/>
      <c r="V42" s="375">
        <v>8</v>
      </c>
      <c r="W42" s="377">
        <f>+W41-W40</f>
        <v>6.8571428571428577</v>
      </c>
    </row>
    <row r="43" spans="1:32">
      <c r="I43" s="13"/>
      <c r="J43" s="14"/>
      <c r="K43" s="234">
        <f t="shared" ref="K43:S43" si="5">SUM(K4:K42)</f>
        <v>0</v>
      </c>
      <c r="L43" s="235">
        <f t="shared" si="5"/>
        <v>0</v>
      </c>
      <c r="M43" s="167">
        <f t="shared" si="5"/>
        <v>137</v>
      </c>
      <c r="N43" s="168">
        <f t="shared" si="5"/>
        <v>376</v>
      </c>
      <c r="O43" s="77">
        <f t="shared" si="5"/>
        <v>506</v>
      </c>
      <c r="P43" s="78">
        <f t="shared" si="5"/>
        <v>2904</v>
      </c>
      <c r="Q43" s="323">
        <f t="shared" si="5"/>
        <v>40</v>
      </c>
      <c r="R43" s="78">
        <f t="shared" si="5"/>
        <v>3320</v>
      </c>
      <c r="S43" s="102">
        <f t="shared" si="5"/>
        <v>0</v>
      </c>
      <c r="T43" s="5"/>
    </row>
    <row r="44" spans="1:32">
      <c r="J44" s="200">
        <f ca="1">TODAY()</f>
        <v>43825</v>
      </c>
      <c r="K44" s="41"/>
      <c r="M44" s="42"/>
      <c r="N44" s="41"/>
      <c r="O44" s="45" t="s">
        <v>81</v>
      </c>
      <c r="Q44" s="42"/>
      <c r="R44" s="45">
        <f>+R5+R7+R9+R13+R14+R18+R27+R37</f>
        <v>414</v>
      </c>
      <c r="T44" s="5"/>
    </row>
    <row r="45" spans="1:32">
      <c r="L45" s="43"/>
      <c r="M45" s="44"/>
      <c r="N45" s="125"/>
      <c r="O45" s="43" t="s">
        <v>91</v>
      </c>
      <c r="P45" s="114">
        <v>2622</v>
      </c>
      <c r="Q45" s="110" t="s">
        <v>58</v>
      </c>
      <c r="R45" s="111">
        <f>+R43-R44</f>
        <v>2906</v>
      </c>
      <c r="S45" s="109"/>
      <c r="T45" s="5"/>
    </row>
    <row r="46" spans="1:32">
      <c r="P46" s="19"/>
      <c r="T46" s="5"/>
      <c r="AC46">
        <v>4</v>
      </c>
    </row>
    <row r="47" spans="1:32" ht="15" customHeight="1">
      <c r="I47" s="330" t="s">
        <v>301</v>
      </c>
      <c r="P47" s="1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I48" s="331" t="s">
        <v>302</v>
      </c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30" t="s">
        <v>472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30" t="s">
        <v>473</v>
      </c>
      <c r="P50" s="19"/>
      <c r="T50" s="5"/>
    </row>
    <row r="51" spans="9:29">
      <c r="I51" s="330" t="s">
        <v>474</v>
      </c>
      <c r="P51" s="19"/>
    </row>
    <row r="52" spans="9:29">
      <c r="I52" s="330" t="s">
        <v>475</v>
      </c>
      <c r="P52" s="19"/>
      <c r="V52" s="59"/>
      <c r="W52" s="60"/>
      <c r="X52" s="61"/>
    </row>
    <row r="53" spans="9:29">
      <c r="I53" s="330" t="s">
        <v>476</v>
      </c>
      <c r="U53" s="58"/>
      <c r="V53" s="59"/>
      <c r="W53" s="60"/>
      <c r="X53" s="61"/>
    </row>
    <row r="54" spans="9:29">
      <c r="I54" s="330" t="s">
        <v>304</v>
      </c>
      <c r="U54" s="58"/>
      <c r="V54" s="59"/>
      <c r="W54" s="60"/>
      <c r="X54" s="61"/>
    </row>
    <row r="55" spans="9:29">
      <c r="U55" s="58"/>
      <c r="V55" s="59"/>
      <c r="W55" s="60"/>
      <c r="X55" s="69"/>
    </row>
    <row r="56" spans="9:29">
      <c r="U56" s="58"/>
      <c r="V56" s="59"/>
      <c r="W56" s="60"/>
      <c r="X56" s="60"/>
    </row>
    <row r="57" spans="9:29">
      <c r="U57" s="58"/>
      <c r="V57" s="59"/>
      <c r="W57" s="60"/>
      <c r="X57" s="60"/>
    </row>
    <row r="58" spans="9:29">
      <c r="U58" s="58"/>
      <c r="V58" s="59"/>
      <c r="W58" s="62"/>
      <c r="X58" s="60"/>
    </row>
    <row r="59" spans="9:29">
      <c r="U59" s="58"/>
      <c r="V59" s="59"/>
      <c r="W59" s="62"/>
      <c r="X59" s="60"/>
    </row>
    <row r="60" spans="9:29">
      <c r="U60" s="64"/>
      <c r="V60" s="59"/>
      <c r="W60" s="60"/>
      <c r="X60" s="60"/>
    </row>
    <row r="61" spans="9:29">
      <c r="U61" s="58"/>
      <c r="V61" s="66"/>
      <c r="W61" s="67"/>
      <c r="X61" s="60"/>
    </row>
    <row r="62" spans="9:29">
      <c r="U62" s="60"/>
      <c r="V62" s="59"/>
      <c r="W62" s="60"/>
    </row>
    <row r="63" spans="9:29">
      <c r="U63" s="60"/>
      <c r="V63" s="59"/>
      <c r="W63" s="60"/>
    </row>
    <row r="64" spans="9:29">
      <c r="U64" s="60"/>
      <c r="V64" s="59"/>
      <c r="W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</sheetData>
  <mergeCells count="3">
    <mergeCell ref="AC14:AC15"/>
    <mergeCell ref="I2:R2"/>
    <mergeCell ref="T2:V2"/>
  </mergeCells>
  <conditionalFormatting sqref="R4">
    <cfRule type="cellIs" dxfId="110" priority="2" operator="lessThanOrEqual">
      <formula>0</formula>
    </cfRule>
  </conditionalFormatting>
  <conditionalFormatting sqref="R4:R42">
    <cfRule type="cellIs" dxfId="109" priority="1" operator="greaterThan">
      <formula>0</formula>
    </cfRule>
  </conditionalFormatting>
  <printOptions horizontalCentered="1"/>
  <pageMargins left="0" right="0" top="1.34" bottom="0" header="0" footer="0"/>
  <pageSetup paperSize="9" scale="95" orientation="portrait" r:id="rId1"/>
  <ignoredErrors>
    <ignoredError sqref="L17:N17 L20:N24 L19 L18 N18 L25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67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K5" sqref="K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5.140625" customWidth="1"/>
    <col min="9" max="9" width="7.42578125" customWidth="1"/>
    <col min="10" max="10" width="35.28515625" customWidth="1"/>
    <col min="11" max="11" width="1.7109375" customWidth="1"/>
    <col min="12" max="12" width="1.5703125" customWidth="1"/>
    <col min="13" max="13" width="5.7109375" customWidth="1"/>
    <col min="14" max="14" width="9.7109375" customWidth="1"/>
    <col min="15" max="15" width="6.85546875" customWidth="1"/>
    <col min="16" max="16" width="12.140625" customWidth="1"/>
    <col min="17" max="17" width="7.28515625" customWidth="1"/>
    <col min="18" max="18" width="15.7109375" customWidth="1"/>
    <col min="19" max="19" width="3.7109375" style="103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 ht="14.1" customHeight="1">
      <c r="H2" s="83"/>
      <c r="I2" s="429" t="s">
        <v>458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364" t="s">
        <v>15</v>
      </c>
      <c r="N4" s="364" t="s">
        <v>426</v>
      </c>
      <c r="O4" s="87" t="s">
        <v>15</v>
      </c>
      <c r="P4" s="87" t="s">
        <v>456</v>
      </c>
      <c r="Q4" s="99" t="s">
        <v>457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365"/>
      <c r="N5" s="366">
        <v>0</v>
      </c>
      <c r="O5" s="76">
        <v>42</v>
      </c>
      <c r="P5" s="75">
        <f t="shared" ref="P5:P42" si="0">IF(O5&gt;25,150,(O5)*6)</f>
        <v>150</v>
      </c>
      <c r="Q5" s="217"/>
      <c r="R5" s="11">
        <f t="shared" ref="R5:R42" si="1">+L5+N5+P5+Q5</f>
        <v>150</v>
      </c>
      <c r="S5" s="106"/>
      <c r="T5" s="5"/>
      <c r="U5" s="258">
        <v>815.2</v>
      </c>
      <c r="V5" s="259">
        <v>94</v>
      </c>
      <c r="W5" s="260">
        <v>721.2</v>
      </c>
      <c r="X5" s="333" t="s">
        <v>215</v>
      </c>
      <c r="Y5" s="266"/>
    </row>
    <row r="6" spans="8:29">
      <c r="H6" s="242" t="s">
        <v>170</v>
      </c>
      <c r="I6" s="188" t="s">
        <v>64</v>
      </c>
      <c r="J6" s="242" t="s">
        <v>138</v>
      </c>
      <c r="K6" s="192"/>
      <c r="L6" s="193">
        <f>+K6*3</f>
        <v>0</v>
      </c>
      <c r="M6" s="368"/>
      <c r="N6" s="369">
        <v>0</v>
      </c>
      <c r="O6" s="192">
        <v>37</v>
      </c>
      <c r="P6" s="193">
        <f t="shared" si="0"/>
        <v>150</v>
      </c>
      <c r="Q6" s="221"/>
      <c r="R6" s="193">
        <f t="shared" si="1"/>
        <v>150</v>
      </c>
      <c r="S6" s="197"/>
      <c r="T6" s="5"/>
      <c r="U6" s="326">
        <f>+V6+W6</f>
        <v>813.84359400998335</v>
      </c>
      <c r="V6" s="256">
        <f>+V5*W6/W5</f>
        <v>93.843594009983349</v>
      </c>
      <c r="W6" s="261">
        <v>720</v>
      </c>
      <c r="X6" s="334" t="s">
        <v>381</v>
      </c>
    </row>
    <row r="7" spans="8:29">
      <c r="H7" s="251" t="s">
        <v>50</v>
      </c>
      <c r="I7" s="275" t="s">
        <v>387</v>
      </c>
      <c r="J7" s="276" t="s">
        <v>388</v>
      </c>
      <c r="K7" s="277"/>
      <c r="L7" s="278">
        <v>0</v>
      </c>
      <c r="M7" s="368"/>
      <c r="N7" s="369">
        <v>0</v>
      </c>
      <c r="O7" s="277">
        <v>30</v>
      </c>
      <c r="P7" s="278">
        <f t="shared" si="0"/>
        <v>150</v>
      </c>
      <c r="Q7" s="374"/>
      <c r="R7" s="278">
        <f t="shared" si="1"/>
        <v>150</v>
      </c>
      <c r="S7" s="280"/>
      <c r="T7" s="5"/>
      <c r="U7" s="32">
        <f>+U5-U6+0.01</f>
        <v>1.3664059900166967</v>
      </c>
      <c r="V7" s="47"/>
      <c r="W7" s="33"/>
      <c r="X7" s="262" t="s">
        <v>59</v>
      </c>
    </row>
    <row r="8" spans="8:29">
      <c r="H8" s="242" t="s">
        <v>170</v>
      </c>
      <c r="I8" s="188" t="s">
        <v>2</v>
      </c>
      <c r="J8" s="242" t="s">
        <v>107</v>
      </c>
      <c r="K8" s="192"/>
      <c r="L8" s="193">
        <f>+K8*3</f>
        <v>0</v>
      </c>
      <c r="M8" s="368"/>
      <c r="N8" s="369">
        <f>+M8*3</f>
        <v>0</v>
      </c>
      <c r="O8" s="192">
        <v>38</v>
      </c>
      <c r="P8" s="193">
        <f t="shared" si="0"/>
        <v>150</v>
      </c>
      <c r="Q8" s="221"/>
      <c r="R8" s="193">
        <f t="shared" si="1"/>
        <v>150</v>
      </c>
      <c r="S8" s="197"/>
      <c r="T8" s="5"/>
      <c r="U8" s="34">
        <v>150</v>
      </c>
      <c r="V8" s="335">
        <f>+U8-U7</f>
        <v>148.63359400998331</v>
      </c>
      <c r="W8" s="39" t="s">
        <v>63</v>
      </c>
      <c r="X8" s="263">
        <f>150-V8</f>
        <v>1.3664059900166876</v>
      </c>
    </row>
    <row r="9" spans="8:29">
      <c r="H9" s="95"/>
      <c r="I9" s="25" t="s">
        <v>42</v>
      </c>
      <c r="J9" s="81" t="s">
        <v>119</v>
      </c>
      <c r="K9" s="228"/>
      <c r="L9" s="227">
        <f>+K9*3</f>
        <v>0</v>
      </c>
      <c r="M9" s="367"/>
      <c r="N9" s="366">
        <f>+M9*3</f>
        <v>0</v>
      </c>
      <c r="O9" s="28"/>
      <c r="P9" s="75">
        <f t="shared" si="0"/>
        <v>0</v>
      </c>
      <c r="Q9" s="374"/>
      <c r="R9" s="11">
        <f t="shared" si="1"/>
        <v>0</v>
      </c>
      <c r="S9" s="107"/>
      <c r="T9" s="5"/>
      <c r="X9" s="37"/>
    </row>
    <row r="10" spans="8:29" ht="15" customHeight="1">
      <c r="H10" s="251" t="s">
        <v>50</v>
      </c>
      <c r="I10" s="275" t="s">
        <v>1</v>
      </c>
      <c r="J10" s="276" t="s">
        <v>106</v>
      </c>
      <c r="K10" s="277"/>
      <c r="L10" s="278">
        <f>3*K10</f>
        <v>0</v>
      </c>
      <c r="M10" s="368"/>
      <c r="N10" s="369">
        <f>3*M10</f>
        <v>0</v>
      </c>
      <c r="O10" s="277"/>
      <c r="P10" s="278">
        <f t="shared" si="0"/>
        <v>0</v>
      </c>
      <c r="Q10" s="279"/>
      <c r="R10" s="278">
        <f t="shared" si="1"/>
        <v>0</v>
      </c>
      <c r="S10" s="280"/>
      <c r="T10" s="5"/>
      <c r="U10" s="258">
        <v>988</v>
      </c>
      <c r="V10" s="259">
        <v>118.76</v>
      </c>
      <c r="W10" s="260">
        <v>869.24</v>
      </c>
      <c r="X10" s="333" t="s">
        <v>349</v>
      </c>
      <c r="Y10" s="266"/>
    </row>
    <row r="11" spans="8:29">
      <c r="H11" s="95"/>
      <c r="I11" s="25" t="s">
        <v>56</v>
      </c>
      <c r="J11" s="81" t="s">
        <v>136</v>
      </c>
      <c r="K11" s="228"/>
      <c r="L11" s="227">
        <v>0</v>
      </c>
      <c r="M11" s="367"/>
      <c r="N11" s="366">
        <f>3*M11</f>
        <v>0</v>
      </c>
      <c r="O11" s="28">
        <v>38</v>
      </c>
      <c r="P11" s="75">
        <f t="shared" si="0"/>
        <v>150</v>
      </c>
      <c r="Q11" s="374"/>
      <c r="R11" s="11">
        <f t="shared" si="1"/>
        <v>150</v>
      </c>
      <c r="S11" s="107"/>
      <c r="T11" s="5"/>
      <c r="U11" s="326">
        <f>+V11+W11</f>
        <v>935.44245547834896</v>
      </c>
      <c r="V11" s="256">
        <f>+V10*W11/W10</f>
        <v>112.44245547834892</v>
      </c>
      <c r="W11" s="261">
        <v>823</v>
      </c>
      <c r="X11" s="334" t="s">
        <v>348</v>
      </c>
    </row>
    <row r="12" spans="8:29">
      <c r="H12" s="95"/>
      <c r="I12" s="25" t="s">
        <v>16</v>
      </c>
      <c r="J12" s="81" t="s">
        <v>113</v>
      </c>
      <c r="K12" s="228"/>
      <c r="L12" s="227">
        <v>0</v>
      </c>
      <c r="M12" s="367"/>
      <c r="N12" s="366">
        <v>0</v>
      </c>
      <c r="O12" s="28"/>
      <c r="P12" s="75">
        <f t="shared" si="0"/>
        <v>0</v>
      </c>
      <c r="Q12" s="374"/>
      <c r="R12" s="11">
        <f t="shared" si="1"/>
        <v>0</v>
      </c>
      <c r="S12" s="107"/>
      <c r="T12" s="5"/>
      <c r="U12" s="32">
        <f>+U10-U11</f>
        <v>52.557544521651039</v>
      </c>
      <c r="V12" s="47"/>
      <c r="W12" s="33"/>
      <c r="X12" s="262" t="s">
        <v>59</v>
      </c>
    </row>
    <row r="13" spans="8:29">
      <c r="H13" s="83"/>
      <c r="I13" s="25" t="s">
        <v>20</v>
      </c>
      <c r="J13" s="81" t="s">
        <v>195</v>
      </c>
      <c r="K13" s="228"/>
      <c r="L13" s="227">
        <f>+K13*3</f>
        <v>0</v>
      </c>
      <c r="M13" s="367"/>
      <c r="N13" s="366">
        <f>+M13*3</f>
        <v>0</v>
      </c>
      <c r="O13" s="74">
        <v>32</v>
      </c>
      <c r="P13" s="75">
        <f t="shared" si="0"/>
        <v>150</v>
      </c>
      <c r="Q13" s="217"/>
      <c r="R13" s="9">
        <f t="shared" si="1"/>
        <v>150</v>
      </c>
      <c r="S13" s="107"/>
      <c r="T13" s="5"/>
      <c r="U13" s="34">
        <v>150</v>
      </c>
      <c r="V13" s="38">
        <f>+U13-U12</f>
        <v>97.442455478348961</v>
      </c>
      <c r="W13" s="39" t="s">
        <v>63</v>
      </c>
      <c r="X13" s="263">
        <f>150-V13</f>
        <v>52.557544521651039</v>
      </c>
    </row>
    <row r="14" spans="8:29">
      <c r="H14" s="251" t="s">
        <v>50</v>
      </c>
      <c r="I14" s="275" t="s">
        <v>459</v>
      </c>
      <c r="J14" s="276" t="s">
        <v>460</v>
      </c>
      <c r="K14" s="277"/>
      <c r="L14" s="278">
        <v>0</v>
      </c>
      <c r="M14" s="368"/>
      <c r="N14" s="369">
        <v>0</v>
      </c>
      <c r="O14" s="277">
        <v>21</v>
      </c>
      <c r="P14" s="278">
        <f t="shared" ref="P14" si="2">IF(O14&gt;25,150,(O14)*6)</f>
        <v>126</v>
      </c>
      <c r="Q14" s="374"/>
      <c r="R14" s="278">
        <f t="shared" ref="R14" si="3">+L14+N14+P14+Q14</f>
        <v>126</v>
      </c>
      <c r="S14" s="280"/>
      <c r="T14" s="5"/>
      <c r="U14" s="10"/>
      <c r="X14" s="37"/>
    </row>
    <row r="15" spans="8:29">
      <c r="H15" s="251" t="s">
        <v>50</v>
      </c>
      <c r="I15" s="275" t="s">
        <v>272</v>
      </c>
      <c r="J15" s="276" t="s">
        <v>271</v>
      </c>
      <c r="K15" s="277"/>
      <c r="L15" s="278">
        <v>0</v>
      </c>
      <c r="M15" s="368"/>
      <c r="N15" s="369">
        <v>0</v>
      </c>
      <c r="O15" s="277"/>
      <c r="P15" s="278">
        <f t="shared" si="0"/>
        <v>0</v>
      </c>
      <c r="Q15" s="279"/>
      <c r="R15" s="278">
        <f t="shared" si="1"/>
        <v>0</v>
      </c>
      <c r="S15" s="280"/>
      <c r="T15" s="5"/>
      <c r="U15" s="258">
        <v>880</v>
      </c>
      <c r="V15" s="259">
        <v>114.4</v>
      </c>
      <c r="W15" s="327">
        <v>765.6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95"/>
      <c r="I16" s="25" t="s">
        <v>25</v>
      </c>
      <c r="J16" s="81" t="s">
        <v>118</v>
      </c>
      <c r="K16" s="228"/>
      <c r="L16" s="227">
        <f>+K16*3</f>
        <v>0</v>
      </c>
      <c r="M16" s="367"/>
      <c r="N16" s="366">
        <f>+M16*3</f>
        <v>0</v>
      </c>
      <c r="O16" s="28"/>
      <c r="P16" s="75">
        <f t="shared" si="0"/>
        <v>0</v>
      </c>
      <c r="Q16" s="218"/>
      <c r="R16" s="11">
        <f t="shared" si="1"/>
        <v>0</v>
      </c>
      <c r="S16" s="107"/>
      <c r="T16" s="5"/>
      <c r="U16" s="326">
        <f>+V16+W16</f>
        <v>945.97701149425291</v>
      </c>
      <c r="V16" s="256">
        <f>+V15*W16/W15</f>
        <v>122.97701149425289</v>
      </c>
      <c r="W16" s="261">
        <v>823</v>
      </c>
      <c r="X16" s="36" t="s">
        <v>350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41</v>
      </c>
      <c r="J17" s="81" t="s">
        <v>112</v>
      </c>
      <c r="K17" s="228"/>
      <c r="L17" s="227">
        <f>+K17*3</f>
        <v>0</v>
      </c>
      <c r="M17" s="367"/>
      <c r="N17" s="366">
        <f>+M17*3</f>
        <v>0</v>
      </c>
      <c r="O17" s="28">
        <v>36</v>
      </c>
      <c r="P17" s="75">
        <f t="shared" si="0"/>
        <v>150</v>
      </c>
      <c r="Q17" s="218"/>
      <c r="R17" s="11">
        <f t="shared" si="1"/>
        <v>150</v>
      </c>
      <c r="S17" s="107"/>
      <c r="T17" s="5"/>
      <c r="U17" s="32">
        <f>+U15-U16</f>
        <v>-65.977011494252906</v>
      </c>
      <c r="V17" s="47"/>
      <c r="W17" s="33"/>
      <c r="X17" s="262" t="s">
        <v>59</v>
      </c>
      <c r="Z17" s="282">
        <v>43673</v>
      </c>
      <c r="AA17" s="317">
        <v>1</v>
      </c>
      <c r="AB17" s="281">
        <v>3</v>
      </c>
      <c r="AC17" s="174" t="s">
        <v>157</v>
      </c>
    </row>
    <row r="18" spans="1:29">
      <c r="A18" s="215"/>
      <c r="H18" s="83"/>
      <c r="I18" s="126" t="s">
        <v>71</v>
      </c>
      <c r="J18" s="80" t="s">
        <v>139</v>
      </c>
      <c r="K18" s="226"/>
      <c r="L18" s="227">
        <f>5*K18</f>
        <v>0</v>
      </c>
      <c r="M18" s="365"/>
      <c r="N18" s="366">
        <f>5*M18</f>
        <v>0</v>
      </c>
      <c r="O18" s="76"/>
      <c r="P18" s="75">
        <f t="shared" si="0"/>
        <v>0</v>
      </c>
      <c r="Q18" s="217"/>
      <c r="R18" s="11">
        <f t="shared" si="1"/>
        <v>0</v>
      </c>
      <c r="S18" s="106"/>
      <c r="T18" s="5"/>
      <c r="U18" s="34">
        <v>150</v>
      </c>
      <c r="V18" s="38">
        <f>+U18-U17</f>
        <v>215.97701149425291</v>
      </c>
      <c r="W18" s="39" t="s">
        <v>63</v>
      </c>
      <c r="X18" s="263">
        <f>150-V18</f>
        <v>-65.977011494252906</v>
      </c>
      <c r="Z18" s="282">
        <f>1+Z17</f>
        <v>43674</v>
      </c>
      <c r="AA18" s="318">
        <v>1</v>
      </c>
      <c r="AB18" s="281">
        <v>5</v>
      </c>
      <c r="AC18" s="33" t="s">
        <v>156</v>
      </c>
    </row>
    <row r="19" spans="1:29">
      <c r="A19" s="215"/>
      <c r="H19" s="242" t="s">
        <v>170</v>
      </c>
      <c r="I19" s="188" t="s">
        <v>28</v>
      </c>
      <c r="J19" s="242" t="s">
        <v>122</v>
      </c>
      <c r="K19" s="192"/>
      <c r="L19" s="193">
        <f>+K19*3</f>
        <v>0</v>
      </c>
      <c r="M19" s="368"/>
      <c r="N19" s="369">
        <f>+M19*3</f>
        <v>0</v>
      </c>
      <c r="O19" s="192">
        <v>1</v>
      </c>
      <c r="P19" s="193">
        <f t="shared" si="0"/>
        <v>6</v>
      </c>
      <c r="Q19" s="221"/>
      <c r="R19" s="193">
        <f t="shared" si="1"/>
        <v>6</v>
      </c>
      <c r="S19" s="197"/>
      <c r="T19" s="5"/>
      <c r="U19" s="10"/>
      <c r="X19" s="37"/>
      <c r="Z19" s="282">
        <f t="shared" ref="Z19:Z27" si="4">1+Z18</f>
        <v>43675</v>
      </c>
      <c r="AA19" s="318">
        <v>1</v>
      </c>
      <c r="AB19" s="281">
        <v>5</v>
      </c>
      <c r="AC19" s="33" t="s">
        <v>151</v>
      </c>
    </row>
    <row r="20" spans="1:29">
      <c r="H20" s="141"/>
      <c r="I20" s="269" t="s">
        <v>270</v>
      </c>
      <c r="J20" s="270" t="s">
        <v>273</v>
      </c>
      <c r="K20" s="271"/>
      <c r="L20" s="272">
        <v>0</v>
      </c>
      <c r="M20" s="367"/>
      <c r="N20" s="366">
        <v>0</v>
      </c>
      <c r="O20" s="271"/>
      <c r="P20" s="272">
        <f t="shared" si="0"/>
        <v>0</v>
      </c>
      <c r="Q20" s="273"/>
      <c r="R20" s="272">
        <f t="shared" si="1"/>
        <v>0</v>
      </c>
      <c r="S20" s="274"/>
      <c r="T20" s="5"/>
      <c r="U20" s="258">
        <v>900</v>
      </c>
      <c r="V20" s="259">
        <f>+U20*0.13</f>
        <v>117</v>
      </c>
      <c r="W20" s="327">
        <f>+V20+U20</f>
        <v>1017</v>
      </c>
      <c r="X20" s="100"/>
      <c r="Y20" s="266"/>
      <c r="Z20" s="282">
        <f t="shared" si="4"/>
        <v>43676</v>
      </c>
      <c r="AA20" s="318">
        <v>1</v>
      </c>
      <c r="AB20" s="281">
        <v>2</v>
      </c>
      <c r="AC20" s="33" t="s">
        <v>152</v>
      </c>
    </row>
    <row r="21" spans="1:29">
      <c r="A21" s="215"/>
      <c r="H21" s="142"/>
      <c r="I21" s="25" t="s">
        <v>4</v>
      </c>
      <c r="J21" s="81" t="s">
        <v>111</v>
      </c>
      <c r="K21" s="228"/>
      <c r="L21" s="227">
        <v>0</v>
      </c>
      <c r="M21" s="367"/>
      <c r="N21" s="366">
        <f>+M21*3</f>
        <v>0</v>
      </c>
      <c r="O21" s="28">
        <v>35</v>
      </c>
      <c r="P21" s="75">
        <f t="shared" si="0"/>
        <v>150</v>
      </c>
      <c r="Q21" s="218"/>
      <c r="R21" s="11">
        <f t="shared" si="1"/>
        <v>150</v>
      </c>
      <c r="S21" s="107"/>
      <c r="T21" s="5"/>
      <c r="U21" s="326">
        <f>+V21+W21</f>
        <v>802.83185840707961</v>
      </c>
      <c r="V21" s="256">
        <f>+V20*W21/W20</f>
        <v>82.83185840707965</v>
      </c>
      <c r="W21" s="261">
        <v>720</v>
      </c>
      <c r="X21" s="36" t="s">
        <v>350</v>
      </c>
      <c r="Z21" s="282">
        <f t="shared" si="4"/>
        <v>43677</v>
      </c>
      <c r="AA21" s="318"/>
      <c r="AB21" s="281"/>
      <c r="AC21" s="33" t="s">
        <v>153</v>
      </c>
    </row>
    <row r="22" spans="1:29">
      <c r="A22" s="215"/>
      <c r="H22" s="142"/>
      <c r="I22" s="25" t="s">
        <v>9</v>
      </c>
      <c r="J22" s="81" t="s">
        <v>128</v>
      </c>
      <c r="K22" s="228"/>
      <c r="L22" s="227">
        <v>0</v>
      </c>
      <c r="M22" s="367"/>
      <c r="N22" s="366">
        <f>3*M22</f>
        <v>0</v>
      </c>
      <c r="O22" s="28">
        <v>29</v>
      </c>
      <c r="P22" s="75">
        <f t="shared" si="0"/>
        <v>150</v>
      </c>
      <c r="Q22" s="374"/>
      <c r="R22" s="11">
        <f t="shared" si="1"/>
        <v>150</v>
      </c>
      <c r="S22" s="107"/>
      <c r="T22" s="5"/>
      <c r="U22" s="32">
        <f>+U20-U21</f>
        <v>97.168141592920392</v>
      </c>
      <c r="V22" s="47"/>
      <c r="W22" s="33"/>
      <c r="X22" s="262" t="s">
        <v>59</v>
      </c>
      <c r="Z22" s="282">
        <f t="shared" si="4"/>
        <v>43678</v>
      </c>
      <c r="AA22" s="318"/>
      <c r="AB22" s="281"/>
      <c r="AC22" s="33" t="s">
        <v>154</v>
      </c>
    </row>
    <row r="23" spans="1:29">
      <c r="A23" s="215"/>
      <c r="H23" s="142"/>
      <c r="I23" s="25" t="s">
        <v>236</v>
      </c>
      <c r="J23" s="96" t="s">
        <v>235</v>
      </c>
      <c r="K23" s="29"/>
      <c r="L23" s="27">
        <v>0</v>
      </c>
      <c r="M23" s="367"/>
      <c r="N23" s="366">
        <v>0</v>
      </c>
      <c r="O23" s="28">
        <v>34</v>
      </c>
      <c r="P23" s="11">
        <f t="shared" si="0"/>
        <v>150</v>
      </c>
      <c r="Q23" s="374"/>
      <c r="R23" s="11">
        <f t="shared" si="1"/>
        <v>150</v>
      </c>
      <c r="S23" s="241"/>
      <c r="T23" s="5"/>
      <c r="U23" s="34">
        <v>150</v>
      </c>
      <c r="V23" s="38">
        <f>+U23-U22</f>
        <v>52.831858407079608</v>
      </c>
      <c r="W23" s="39" t="s">
        <v>63</v>
      </c>
      <c r="X23" s="263">
        <f>150-V23</f>
        <v>97.168141592920392</v>
      </c>
      <c r="Z23" s="282">
        <f t="shared" si="4"/>
        <v>43679</v>
      </c>
      <c r="AA23" s="318"/>
      <c r="AB23" s="281"/>
      <c r="AC23" s="175" t="s">
        <v>155</v>
      </c>
    </row>
    <row r="24" spans="1:29">
      <c r="H24" s="142"/>
      <c r="I24" s="269" t="s">
        <v>328</v>
      </c>
      <c r="J24" s="270" t="s">
        <v>329</v>
      </c>
      <c r="K24" s="271"/>
      <c r="L24" s="272">
        <v>0</v>
      </c>
      <c r="M24" s="367"/>
      <c r="N24" s="366">
        <v>0</v>
      </c>
      <c r="O24" s="271">
        <v>33</v>
      </c>
      <c r="P24" s="272">
        <f t="shared" si="0"/>
        <v>150</v>
      </c>
      <c r="Q24" s="273"/>
      <c r="R24" s="272">
        <f t="shared" si="1"/>
        <v>150</v>
      </c>
      <c r="S24" s="274"/>
      <c r="T24" s="5"/>
      <c r="U24" s="10"/>
      <c r="X24" s="37"/>
      <c r="Z24" s="282">
        <f t="shared" si="4"/>
        <v>43680</v>
      </c>
      <c r="AA24" s="318"/>
      <c r="AB24" s="281"/>
      <c r="AC24" s="61"/>
    </row>
    <row r="25" spans="1:29">
      <c r="A25" s="237"/>
      <c r="B25" s="237"/>
      <c r="C25" s="237"/>
      <c r="D25" s="238"/>
      <c r="E25" s="237"/>
      <c r="F25" s="239"/>
      <c r="G25" s="237"/>
      <c r="H25" s="142"/>
      <c r="I25" s="25" t="s">
        <v>51</v>
      </c>
      <c r="J25" s="96" t="s">
        <v>134</v>
      </c>
      <c r="K25" s="29"/>
      <c r="L25" s="27">
        <f>+K25*3</f>
        <v>0</v>
      </c>
      <c r="M25" s="367"/>
      <c r="N25" s="366">
        <f>+M25*3</f>
        <v>0</v>
      </c>
      <c r="O25" s="28"/>
      <c r="P25" s="11">
        <f t="shared" si="0"/>
        <v>0</v>
      </c>
      <c r="Q25" s="218"/>
      <c r="R25" s="240">
        <f t="shared" si="1"/>
        <v>0</v>
      </c>
      <c r="S25" s="241"/>
      <c r="T25" s="5"/>
      <c r="Z25" s="282">
        <f t="shared" si="4"/>
        <v>43681</v>
      </c>
      <c r="AA25" s="318"/>
      <c r="AB25" s="281"/>
      <c r="AC25" s="61"/>
    </row>
    <row r="26" spans="1:29">
      <c r="A26" s="215"/>
      <c r="H26" s="142"/>
      <c r="I26" s="25" t="s">
        <v>61</v>
      </c>
      <c r="J26" s="96" t="s">
        <v>137</v>
      </c>
      <c r="K26" s="28"/>
      <c r="L26" s="11">
        <f>3*K26</f>
        <v>0</v>
      </c>
      <c r="M26" s="367"/>
      <c r="N26" s="366">
        <f>3*M26</f>
        <v>0</v>
      </c>
      <c r="O26" s="28"/>
      <c r="P26" s="11">
        <f t="shared" si="0"/>
        <v>0</v>
      </c>
      <c r="Q26" s="374"/>
      <c r="R26" s="361">
        <f t="shared" si="1"/>
        <v>0</v>
      </c>
      <c r="S26" s="241"/>
      <c r="T26" s="5"/>
      <c r="U26" s="332" t="s">
        <v>382</v>
      </c>
      <c r="Z26" s="282">
        <f t="shared" si="4"/>
        <v>43682</v>
      </c>
      <c r="AA26" s="318"/>
      <c r="AB26" s="281"/>
      <c r="AC26" s="65"/>
    </row>
    <row r="27" spans="1:29">
      <c r="A27" s="215"/>
      <c r="H27" s="95"/>
      <c r="I27" s="25" t="s">
        <v>14</v>
      </c>
      <c r="J27" s="81" t="s">
        <v>125</v>
      </c>
      <c r="K27" s="228"/>
      <c r="L27" s="227">
        <f>+K27*3</f>
        <v>0</v>
      </c>
      <c r="M27" s="367"/>
      <c r="N27" s="366">
        <f>3*M27</f>
        <v>0</v>
      </c>
      <c r="O27" s="28">
        <v>37</v>
      </c>
      <c r="P27" s="75">
        <f t="shared" si="0"/>
        <v>150</v>
      </c>
      <c r="Q27" s="374"/>
      <c r="R27" s="11">
        <f t="shared" si="1"/>
        <v>150</v>
      </c>
      <c r="S27" s="107"/>
      <c r="T27" s="5"/>
      <c r="Z27" s="282">
        <f t="shared" si="4"/>
        <v>43683</v>
      </c>
      <c r="AA27" s="319"/>
      <c r="AB27" s="281"/>
      <c r="AC27" s="66"/>
    </row>
    <row r="28" spans="1:29">
      <c r="A28" s="215"/>
      <c r="H28" s="242" t="s">
        <v>170</v>
      </c>
      <c r="I28" s="188" t="s">
        <v>79</v>
      </c>
      <c r="J28" s="242" t="s">
        <v>110</v>
      </c>
      <c r="K28" s="192"/>
      <c r="L28" s="193">
        <v>0</v>
      </c>
      <c r="M28" s="368"/>
      <c r="N28" s="369">
        <v>0</v>
      </c>
      <c r="O28" s="192">
        <v>41</v>
      </c>
      <c r="P28" s="193">
        <f t="shared" si="0"/>
        <v>150</v>
      </c>
      <c r="Q28" s="221">
        <v>-4</v>
      </c>
      <c r="R28" s="193">
        <f t="shared" si="1"/>
        <v>146</v>
      </c>
      <c r="S28" s="197"/>
      <c r="T28" s="5"/>
      <c r="U28" s="287" t="s">
        <v>347</v>
      </c>
      <c r="Z28" s="314" t="s">
        <v>150</v>
      </c>
      <c r="AA28" s="315">
        <f>SUM(AA17:AA27)</f>
        <v>4</v>
      </c>
      <c r="AB28" s="316" t="s">
        <v>148</v>
      </c>
      <c r="AC28" s="68"/>
    </row>
    <row r="29" spans="1:29">
      <c r="H29" s="83"/>
      <c r="I29" s="269" t="s">
        <v>214</v>
      </c>
      <c r="J29" s="270" t="s">
        <v>215</v>
      </c>
      <c r="K29" s="271"/>
      <c r="L29" s="272">
        <v>0</v>
      </c>
      <c r="M29" s="367"/>
      <c r="N29" s="366">
        <v>0</v>
      </c>
      <c r="O29" s="271"/>
      <c r="P29" s="272">
        <f t="shared" si="0"/>
        <v>0</v>
      </c>
      <c r="Q29" s="374"/>
      <c r="R29" s="272">
        <f t="shared" si="1"/>
        <v>0</v>
      </c>
      <c r="S29" s="274"/>
      <c r="T29" s="5"/>
      <c r="Z29" s="184"/>
      <c r="AA29" s="171">
        <f>SUM(AB17:AB27)</f>
        <v>15</v>
      </c>
      <c r="AB29" s="185" t="s">
        <v>149</v>
      </c>
      <c r="AC29" s="69"/>
    </row>
    <row r="30" spans="1:29" ht="16.5">
      <c r="A30" s="237"/>
      <c r="B30" s="237"/>
      <c r="C30" s="237"/>
      <c r="D30" s="238"/>
      <c r="E30" s="237"/>
      <c r="F30" s="239"/>
      <c r="G30" s="237"/>
      <c r="H30" s="142"/>
      <c r="I30" s="25" t="s">
        <v>45</v>
      </c>
      <c r="J30" s="96" t="s">
        <v>133</v>
      </c>
      <c r="K30" s="29"/>
      <c r="L30" s="27">
        <f>+K30*3</f>
        <v>0</v>
      </c>
      <c r="M30" s="367"/>
      <c r="N30" s="366">
        <f>+M30*3</f>
        <v>0</v>
      </c>
      <c r="O30" s="28"/>
      <c r="P30" s="11">
        <f t="shared" si="0"/>
        <v>0</v>
      </c>
      <c r="Q30" s="218"/>
      <c r="R30" s="240">
        <f t="shared" si="1"/>
        <v>0</v>
      </c>
      <c r="S30" s="241"/>
      <c r="T30" s="5"/>
      <c r="Z30" s="186" t="s">
        <v>160</v>
      </c>
      <c r="AA30" s="284">
        <f>+AA29/AA28</f>
        <v>3.75</v>
      </c>
      <c r="AB30" s="173" t="s">
        <v>150</v>
      </c>
      <c r="AC30" s="65"/>
    </row>
    <row r="31" spans="1:29">
      <c r="A31" s="215"/>
      <c r="H31" s="142"/>
      <c r="I31" s="25" t="s">
        <v>13</v>
      </c>
      <c r="J31" s="81" t="s">
        <v>319</v>
      </c>
      <c r="K31" s="228"/>
      <c r="L31" s="227">
        <f>3*K31</f>
        <v>0</v>
      </c>
      <c r="M31" s="367"/>
      <c r="N31" s="366">
        <f>5*M31</f>
        <v>0</v>
      </c>
      <c r="O31" s="28">
        <v>1</v>
      </c>
      <c r="P31" s="75">
        <f t="shared" si="0"/>
        <v>6</v>
      </c>
      <c r="Q31" s="374"/>
      <c r="R31" s="57">
        <f t="shared" si="1"/>
        <v>6</v>
      </c>
      <c r="S31" s="107"/>
      <c r="T31" s="5"/>
    </row>
    <row r="32" spans="1:29">
      <c r="A32" s="215"/>
      <c r="H32" s="95"/>
      <c r="I32" s="25" t="s">
        <v>31</v>
      </c>
      <c r="J32" s="81" t="s">
        <v>127</v>
      </c>
      <c r="K32" s="228"/>
      <c r="L32" s="227">
        <v>0</v>
      </c>
      <c r="M32" s="367"/>
      <c r="N32" s="366">
        <v>0</v>
      </c>
      <c r="O32" s="28">
        <v>30</v>
      </c>
      <c r="P32" s="75">
        <f t="shared" si="0"/>
        <v>150</v>
      </c>
      <c r="Q32" s="374"/>
      <c r="R32" s="11">
        <f t="shared" si="1"/>
        <v>150</v>
      </c>
      <c r="S32" s="107"/>
      <c r="T32" s="5"/>
    </row>
    <row r="33" spans="1:32">
      <c r="A33" s="215"/>
      <c r="H33" s="95"/>
      <c r="I33" s="25" t="s">
        <v>30</v>
      </c>
      <c r="J33" s="81" t="s">
        <v>126</v>
      </c>
      <c r="K33" s="228"/>
      <c r="L33" s="227">
        <f>+K33*3</f>
        <v>0</v>
      </c>
      <c r="M33" s="367"/>
      <c r="N33" s="366">
        <f>+M33*3</f>
        <v>0</v>
      </c>
      <c r="O33" s="28">
        <v>25</v>
      </c>
      <c r="P33" s="75">
        <f t="shared" si="0"/>
        <v>150</v>
      </c>
      <c r="Q33" s="218"/>
      <c r="R33" s="320">
        <f t="shared" si="1"/>
        <v>150</v>
      </c>
      <c r="S33" s="107"/>
      <c r="T33" s="5"/>
    </row>
    <row r="34" spans="1:32" s="4" customFormat="1">
      <c r="A34" s="215"/>
      <c r="B34"/>
      <c r="C34"/>
      <c r="D34" s="1"/>
      <c r="E34"/>
      <c r="F34" s="2"/>
      <c r="G34"/>
      <c r="H34" s="83"/>
      <c r="I34" s="269" t="s">
        <v>186</v>
      </c>
      <c r="J34" s="270" t="s">
        <v>187</v>
      </c>
      <c r="K34" s="271"/>
      <c r="L34" s="272">
        <v>0</v>
      </c>
      <c r="M34" s="367"/>
      <c r="N34" s="366">
        <v>0</v>
      </c>
      <c r="O34" s="271"/>
      <c r="P34" s="272">
        <f t="shared" si="0"/>
        <v>0</v>
      </c>
      <c r="Q34" s="273"/>
      <c r="R34" s="272">
        <f t="shared" si="1"/>
        <v>0</v>
      </c>
      <c r="S34" s="274"/>
      <c r="T34" s="5"/>
      <c r="U34"/>
      <c r="V34" s="46"/>
      <c r="W34"/>
      <c r="X34"/>
      <c r="Y34"/>
      <c r="Z34"/>
      <c r="AA34"/>
      <c r="AB34"/>
      <c r="AC34"/>
      <c r="AD34"/>
      <c r="AE34"/>
      <c r="AF34"/>
    </row>
    <row r="35" spans="1:32">
      <c r="A35" s="215"/>
      <c r="H35" s="83"/>
      <c r="I35" s="25" t="s">
        <v>17</v>
      </c>
      <c r="J35" s="81" t="s">
        <v>123</v>
      </c>
      <c r="K35" s="228"/>
      <c r="L35" s="227">
        <f>+K35*3</f>
        <v>0</v>
      </c>
      <c r="M35" s="367"/>
      <c r="N35" s="366">
        <v>0</v>
      </c>
      <c r="O35" s="74"/>
      <c r="P35" s="75">
        <f t="shared" si="0"/>
        <v>0</v>
      </c>
      <c r="Q35" s="218"/>
      <c r="R35" s="11">
        <f t="shared" si="1"/>
        <v>0</v>
      </c>
      <c r="S35" s="107"/>
      <c r="T35" s="5"/>
    </row>
    <row r="36" spans="1:32">
      <c r="A36" s="215"/>
      <c r="H36" s="83"/>
      <c r="I36" s="25" t="s">
        <v>60</v>
      </c>
      <c r="J36" s="81" t="s">
        <v>132</v>
      </c>
      <c r="K36" s="228"/>
      <c r="L36" s="227">
        <v>0</v>
      </c>
      <c r="M36" s="367"/>
      <c r="N36" s="366">
        <v>0</v>
      </c>
      <c r="O36" s="74"/>
      <c r="P36" s="75">
        <f>IF(O36&gt;25,150,(O36)*6)</f>
        <v>0</v>
      </c>
      <c r="Q36" s="218"/>
      <c r="R36" s="11">
        <f>+L36+N36+P36+Q36</f>
        <v>0</v>
      </c>
      <c r="S36" s="107"/>
      <c r="T36" s="5"/>
    </row>
    <row r="37" spans="1:32">
      <c r="H37" s="142"/>
      <c r="I37" s="25" t="s">
        <v>233</v>
      </c>
      <c r="J37" s="81" t="s">
        <v>234</v>
      </c>
      <c r="K37" s="228"/>
      <c r="L37" s="227">
        <v>0</v>
      </c>
      <c r="M37" s="367"/>
      <c r="N37" s="366">
        <f>3*M37</f>
        <v>0</v>
      </c>
      <c r="O37" s="28"/>
      <c r="P37" s="75">
        <f t="shared" si="0"/>
        <v>0</v>
      </c>
      <c r="Q37" s="374"/>
      <c r="R37" s="57">
        <f t="shared" si="1"/>
        <v>0</v>
      </c>
      <c r="S37" s="107"/>
      <c r="T37" s="5"/>
    </row>
    <row r="38" spans="1:32">
      <c r="A38" s="215"/>
      <c r="H38" s="95"/>
      <c r="I38" s="25" t="s">
        <v>8</v>
      </c>
      <c r="J38" s="81" t="s">
        <v>120</v>
      </c>
      <c r="K38" s="228"/>
      <c r="L38" s="227">
        <v>0</v>
      </c>
      <c r="M38" s="367"/>
      <c r="N38" s="366">
        <v>0</v>
      </c>
      <c r="O38" s="28"/>
      <c r="P38" s="75">
        <f t="shared" si="0"/>
        <v>0</v>
      </c>
      <c r="Q38" s="218"/>
      <c r="R38" s="11">
        <f t="shared" si="1"/>
        <v>0</v>
      </c>
      <c r="S38" s="107"/>
      <c r="T38" s="5"/>
      <c r="AF38" s="4"/>
    </row>
    <row r="39" spans="1:32">
      <c r="A39" s="215"/>
      <c r="H39" s="95"/>
      <c r="I39" s="25" t="s">
        <v>11</v>
      </c>
      <c r="J39" s="81" t="s">
        <v>130</v>
      </c>
      <c r="K39" s="228"/>
      <c r="L39" s="227">
        <f>+K39*3</f>
        <v>0</v>
      </c>
      <c r="M39" s="367"/>
      <c r="N39" s="366">
        <f>+M39*3</f>
        <v>0</v>
      </c>
      <c r="O39" s="28"/>
      <c r="P39" s="75">
        <f t="shared" si="0"/>
        <v>0</v>
      </c>
      <c r="Q39" s="374"/>
      <c r="R39" s="11">
        <f t="shared" si="1"/>
        <v>0</v>
      </c>
      <c r="S39" s="107"/>
      <c r="T39" s="5"/>
    </row>
    <row r="40" spans="1:32" ht="15.75">
      <c r="H40" s="83"/>
      <c r="I40" s="25" t="s">
        <v>6</v>
      </c>
      <c r="J40" s="96" t="s">
        <v>116</v>
      </c>
      <c r="K40" s="228"/>
      <c r="L40" s="227">
        <f>+K40*3</f>
        <v>0</v>
      </c>
      <c r="M40" s="367"/>
      <c r="N40" s="366">
        <f>+M40*3</f>
        <v>0</v>
      </c>
      <c r="O40" s="74">
        <v>30</v>
      </c>
      <c r="P40" s="75">
        <f t="shared" si="0"/>
        <v>150</v>
      </c>
      <c r="Q40" s="220"/>
      <c r="R40" s="11">
        <f t="shared" si="1"/>
        <v>150</v>
      </c>
      <c r="S40" s="107"/>
      <c r="T40" s="5"/>
      <c r="V40" s="375">
        <v>12</v>
      </c>
      <c r="W40" s="376">
        <f>+V40/7*6</f>
        <v>10.285714285714285</v>
      </c>
    </row>
    <row r="41" spans="1:32" ht="15.75">
      <c r="H41" s="95"/>
      <c r="I41" s="25" t="s">
        <v>53</v>
      </c>
      <c r="J41" s="81" t="s">
        <v>135</v>
      </c>
      <c r="K41" s="228"/>
      <c r="L41" s="227">
        <v>0</v>
      </c>
      <c r="M41" s="367"/>
      <c r="N41" s="366">
        <v>0</v>
      </c>
      <c r="O41" s="28"/>
      <c r="P41" s="75">
        <f t="shared" si="0"/>
        <v>0</v>
      </c>
      <c r="Q41" s="218"/>
      <c r="R41" s="11">
        <f t="shared" si="1"/>
        <v>0</v>
      </c>
      <c r="S41" s="107"/>
      <c r="T41" s="5"/>
      <c r="V41" s="375">
        <v>20</v>
      </c>
      <c r="W41" s="376">
        <f>+V41/7*6</f>
        <v>17.142857142857142</v>
      </c>
    </row>
    <row r="42" spans="1:32" ht="15.75">
      <c r="H42" s="81"/>
      <c r="I42" s="120" t="s">
        <v>12</v>
      </c>
      <c r="J42" s="121" t="s">
        <v>114</v>
      </c>
      <c r="K42" s="122"/>
      <c r="L42" s="15">
        <v>0</v>
      </c>
      <c r="M42" s="370"/>
      <c r="N42" s="371">
        <f>3*M42</f>
        <v>0</v>
      </c>
      <c r="O42" s="122">
        <v>31</v>
      </c>
      <c r="P42" s="15">
        <f t="shared" si="0"/>
        <v>150</v>
      </c>
      <c r="Q42" s="222"/>
      <c r="R42" s="362">
        <f t="shared" si="1"/>
        <v>150</v>
      </c>
      <c r="S42" s="363"/>
      <c r="T42" s="5"/>
      <c r="V42" s="375">
        <v>8</v>
      </c>
      <c r="W42" s="377">
        <f>+W41-W40</f>
        <v>6.8571428571428577</v>
      </c>
    </row>
    <row r="43" spans="1:32">
      <c r="I43" s="13"/>
      <c r="J43" s="14"/>
      <c r="K43" s="234">
        <f t="shared" ref="K43:S43" si="5">SUM(K5:K42)</f>
        <v>0</v>
      </c>
      <c r="L43" s="235">
        <f t="shared" si="5"/>
        <v>0</v>
      </c>
      <c r="M43" s="372">
        <f t="shared" si="5"/>
        <v>0</v>
      </c>
      <c r="N43" s="373">
        <f t="shared" si="5"/>
        <v>0</v>
      </c>
      <c r="O43" s="77">
        <f t="shared" si="5"/>
        <v>601</v>
      </c>
      <c r="P43" s="78">
        <f t="shared" si="5"/>
        <v>2688</v>
      </c>
      <c r="Q43" s="323">
        <f t="shared" si="5"/>
        <v>-4</v>
      </c>
      <c r="R43" s="78">
        <f t="shared" si="5"/>
        <v>2684</v>
      </c>
      <c r="S43" s="102">
        <f t="shared" si="5"/>
        <v>0</v>
      </c>
      <c r="T43" s="5"/>
    </row>
    <row r="44" spans="1:32">
      <c r="J44" s="200">
        <f ca="1">TODAY()</f>
        <v>43825</v>
      </c>
      <c r="K44" s="41"/>
      <c r="M44" s="42"/>
      <c r="N44" s="41"/>
      <c r="O44" s="45" t="s">
        <v>81</v>
      </c>
      <c r="Q44" s="42"/>
      <c r="R44" s="45">
        <f>+R6+R7+R8+R10+R14+R15+R19+R28</f>
        <v>728</v>
      </c>
      <c r="T44" s="5"/>
    </row>
    <row r="45" spans="1:32">
      <c r="L45" s="43"/>
      <c r="M45" s="44"/>
      <c r="N45" s="125"/>
      <c r="O45" s="43" t="s">
        <v>91</v>
      </c>
      <c r="P45" s="114">
        <v>2622</v>
      </c>
      <c r="Q45" s="110" t="s">
        <v>58</v>
      </c>
      <c r="R45" s="111">
        <f>+R43-R44</f>
        <v>1956</v>
      </c>
      <c r="S45" s="109"/>
      <c r="T45" s="5"/>
    </row>
    <row r="46" spans="1:32">
      <c r="P46" s="19"/>
      <c r="T46" s="5"/>
      <c r="AC46">
        <v>4</v>
      </c>
    </row>
    <row r="47" spans="1:32" ht="15" customHeight="1">
      <c r="I47" s="330" t="s">
        <v>416</v>
      </c>
      <c r="P47" s="1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I48" s="331" t="s">
        <v>417</v>
      </c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30" t="s">
        <v>461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30" t="s">
        <v>462</v>
      </c>
      <c r="P50" s="19"/>
      <c r="T50" s="5"/>
    </row>
    <row r="51" spans="9:29">
      <c r="I51" s="330" t="s">
        <v>463</v>
      </c>
      <c r="P51" s="19"/>
    </row>
    <row r="52" spans="9:29">
      <c r="I52" s="330" t="s">
        <v>464</v>
      </c>
      <c r="P52" s="19"/>
      <c r="V52" s="59"/>
      <c r="W52" s="60"/>
      <c r="X52" s="61"/>
    </row>
    <row r="53" spans="9:29">
      <c r="I53" s="330" t="s">
        <v>465</v>
      </c>
      <c r="U53" s="58"/>
      <c r="V53" s="59"/>
      <c r="W53" s="60"/>
      <c r="X53" s="61"/>
    </row>
    <row r="54" spans="9:29">
      <c r="I54" s="330" t="s">
        <v>466</v>
      </c>
      <c r="U54" s="58"/>
      <c r="V54" s="59"/>
      <c r="W54" s="60"/>
      <c r="X54" s="61"/>
    </row>
    <row r="55" spans="9:29">
      <c r="I55" s="330" t="s">
        <v>424</v>
      </c>
      <c r="U55" s="58"/>
      <c r="V55" s="59"/>
      <c r="W55" s="60"/>
      <c r="X55" s="69"/>
    </row>
    <row r="56" spans="9:29">
      <c r="U56" s="58"/>
      <c r="V56" s="59"/>
      <c r="W56" s="60"/>
      <c r="X56" s="60"/>
    </row>
    <row r="57" spans="9:29">
      <c r="U57" s="58"/>
      <c r="V57" s="59"/>
      <c r="W57" s="60"/>
      <c r="X57" s="60"/>
    </row>
    <row r="58" spans="9:29">
      <c r="U58" s="58"/>
      <c r="V58" s="59"/>
      <c r="W58" s="62"/>
      <c r="X58" s="60"/>
    </row>
    <row r="59" spans="9:29">
      <c r="U59" s="58"/>
      <c r="V59" s="59"/>
      <c r="W59" s="62"/>
      <c r="X59" s="60"/>
    </row>
    <row r="60" spans="9:29">
      <c r="U60" s="64"/>
      <c r="V60" s="59"/>
      <c r="W60" s="60"/>
      <c r="X60" s="60"/>
    </row>
    <row r="61" spans="9:29">
      <c r="U61" s="58"/>
      <c r="V61" s="66"/>
      <c r="W61" s="67"/>
      <c r="X61" s="60"/>
    </row>
    <row r="62" spans="9:29">
      <c r="U62" s="60"/>
      <c r="V62" s="59"/>
      <c r="W62" s="60"/>
    </row>
    <row r="63" spans="9:29">
      <c r="U63" s="60"/>
      <c r="V63" s="59"/>
      <c r="W63" s="60"/>
    </row>
    <row r="64" spans="9:29">
      <c r="U64" s="60"/>
      <c r="V64" s="59"/>
      <c r="W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108" priority="2" operator="lessThanOrEqual">
      <formula>0</formula>
    </cfRule>
  </conditionalFormatting>
  <conditionalFormatting sqref="R5:R42">
    <cfRule type="cellIs" dxfId="107" priority="1" operator="greaterThan">
      <formula>0</formula>
    </cfRule>
  </conditionalFormatting>
  <printOptions horizontalCentered="1"/>
  <pageMargins left="0" right="0" top="0.86614173228346458" bottom="0" header="0" footer="0"/>
  <pageSetup paperSize="9" scale="8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67"/>
  <sheetViews>
    <sheetView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K5" sqref="K5"/>
    </sheetView>
  </sheetViews>
  <sheetFormatPr baseColWidth="10" defaultRowHeight="15"/>
  <cols>
    <col min="1" max="1" width="1.7109375" customWidth="1"/>
    <col min="2" max="2" width="0" hidden="1" customWidth="1"/>
    <col min="3" max="3" width="20.7109375" hidden="1" customWidth="1"/>
    <col min="4" max="4" width="20.7109375" style="1" hidden="1" customWidth="1"/>
    <col min="5" max="5" width="13.28515625" hidden="1" customWidth="1"/>
    <col min="6" max="6" width="10.42578125" style="2" hidden="1" customWidth="1"/>
    <col min="7" max="7" width="25.28515625" hidden="1" customWidth="1"/>
    <col min="8" max="8" width="4.7109375" customWidth="1"/>
    <col min="9" max="9" width="7.42578125" customWidth="1"/>
    <col min="10" max="10" width="36.28515625" customWidth="1"/>
    <col min="11" max="11" width="1.7109375" customWidth="1"/>
    <col min="12" max="12" width="1.5703125" customWidth="1"/>
    <col min="13" max="13" width="5.7109375" customWidth="1"/>
    <col min="14" max="14" width="9.7109375" customWidth="1"/>
    <col min="15" max="15" width="6.85546875" customWidth="1"/>
    <col min="16" max="16" width="12.140625" customWidth="1"/>
    <col min="17" max="17" width="7.7109375" customWidth="1"/>
    <col min="18" max="18" width="15.7109375" customWidth="1"/>
    <col min="19" max="19" width="3.7109375" style="103" customWidth="1"/>
    <col min="20" max="20" width="2.7109375" customWidth="1"/>
    <col min="21" max="21" width="13.28515625" customWidth="1"/>
    <col min="22" max="22" width="11.5703125" style="46" customWidth="1"/>
    <col min="23" max="23" width="11.7109375" customWidth="1"/>
    <col min="24" max="24" width="27.7109375" customWidth="1"/>
    <col min="25" max="25" width="9.7109375" customWidth="1"/>
    <col min="27" max="28" width="9.7109375" customWidth="1"/>
    <col min="29" max="29" width="23" bestFit="1" customWidth="1"/>
  </cols>
  <sheetData>
    <row r="1" spans="8:29" ht="5.0999999999999996" customHeight="1"/>
    <row r="2" spans="8:29" ht="14.1" customHeight="1">
      <c r="H2" s="83"/>
      <c r="I2" s="429" t="s">
        <v>449</v>
      </c>
      <c r="J2" s="429"/>
      <c r="K2" s="429"/>
      <c r="L2" s="429"/>
      <c r="M2" s="429"/>
      <c r="N2" s="429"/>
      <c r="O2" s="429"/>
      <c r="P2" s="429"/>
      <c r="Q2" s="429"/>
      <c r="R2" s="429"/>
      <c r="S2" s="104"/>
      <c r="T2" s="83"/>
      <c r="U2" s="85"/>
      <c r="V2" s="83"/>
    </row>
    <row r="3" spans="8:29" ht="11.25" customHeight="1">
      <c r="H3" s="83"/>
      <c r="I3" s="84"/>
      <c r="J3" s="199"/>
      <c r="K3" s="434" t="s">
        <v>39</v>
      </c>
      <c r="L3" s="435"/>
      <c r="M3" s="435"/>
      <c r="N3" s="436"/>
      <c r="O3" s="435" t="s">
        <v>40</v>
      </c>
      <c r="P3" s="436"/>
      <c r="Q3" s="84"/>
      <c r="R3" s="84"/>
      <c r="S3" s="105"/>
      <c r="T3" s="430">
        <f ca="1">+TODAY()</f>
        <v>43825</v>
      </c>
      <c r="U3" s="431"/>
      <c r="V3" s="431"/>
      <c r="Z3" s="437">
        <f ca="1">TODAY()</f>
        <v>43825</v>
      </c>
      <c r="AA3" s="438"/>
      <c r="AB3" s="438"/>
    </row>
    <row r="4" spans="8:29" ht="36.950000000000003" customHeight="1">
      <c r="H4" s="83" t="s">
        <v>143</v>
      </c>
      <c r="I4" s="268" t="s">
        <v>249</v>
      </c>
      <c r="J4" s="267" t="s">
        <v>248</v>
      </c>
      <c r="K4" s="225" t="s">
        <v>15</v>
      </c>
      <c r="L4" s="225" t="s">
        <v>208</v>
      </c>
      <c r="M4" s="364" t="s">
        <v>15</v>
      </c>
      <c r="N4" s="364" t="s">
        <v>426</v>
      </c>
      <c r="O4" s="87" t="s">
        <v>15</v>
      </c>
      <c r="P4" s="87" t="s">
        <v>450</v>
      </c>
      <c r="Q4" s="99" t="s">
        <v>451</v>
      </c>
      <c r="R4" s="88" t="s">
        <v>103</v>
      </c>
      <c r="S4" s="139" t="s">
        <v>104</v>
      </c>
      <c r="T4" s="89"/>
      <c r="U4" s="83"/>
      <c r="V4" s="83"/>
    </row>
    <row r="5" spans="8:29">
      <c r="H5" s="83"/>
      <c r="I5" s="126" t="s">
        <v>5</v>
      </c>
      <c r="J5" s="80" t="s">
        <v>117</v>
      </c>
      <c r="K5" s="226"/>
      <c r="L5" s="227">
        <f>+K5*3</f>
        <v>0</v>
      </c>
      <c r="M5" s="365"/>
      <c r="N5" s="366">
        <v>0</v>
      </c>
      <c r="O5" s="76">
        <v>25</v>
      </c>
      <c r="P5" s="75">
        <f t="shared" ref="P5:P44" si="0">IF(O5&gt;25,150,(O5)*6)</f>
        <v>150</v>
      </c>
      <c r="Q5" s="217"/>
      <c r="R5" s="11">
        <f t="shared" ref="R5:R44" si="1">+L5+N5+P5+Q5</f>
        <v>150</v>
      </c>
      <c r="S5" s="106"/>
      <c r="T5" s="5"/>
      <c r="U5" s="258">
        <v>815.2</v>
      </c>
      <c r="V5" s="259">
        <v>94</v>
      </c>
      <c r="W5" s="260">
        <v>721.2</v>
      </c>
      <c r="X5" s="333" t="s">
        <v>215</v>
      </c>
      <c r="Y5" s="266"/>
    </row>
    <row r="6" spans="8:29">
      <c r="H6" s="83"/>
      <c r="I6" s="126" t="s">
        <v>82</v>
      </c>
      <c r="J6" s="80" t="s">
        <v>141</v>
      </c>
      <c r="K6" s="226"/>
      <c r="L6" s="227">
        <f>+K6*3</f>
        <v>0</v>
      </c>
      <c r="M6" s="365"/>
      <c r="N6" s="366">
        <f>+M6*3</f>
        <v>0</v>
      </c>
      <c r="O6" s="76"/>
      <c r="P6" s="75">
        <f t="shared" si="0"/>
        <v>0</v>
      </c>
      <c r="Q6" s="217"/>
      <c r="R6" s="11">
        <f t="shared" si="1"/>
        <v>0</v>
      </c>
      <c r="S6" s="106"/>
      <c r="T6" s="5"/>
      <c r="U6" s="326">
        <f>+V6+W6</f>
        <v>813.84359400998335</v>
      </c>
      <c r="V6" s="256">
        <f>+V5*W6/W5</f>
        <v>93.843594009983349</v>
      </c>
      <c r="W6" s="261">
        <v>720</v>
      </c>
      <c r="X6" s="334" t="s">
        <v>381</v>
      </c>
    </row>
    <row r="7" spans="8:29">
      <c r="H7" s="83"/>
      <c r="I7" s="25" t="s">
        <v>64</v>
      </c>
      <c r="J7" s="96" t="s">
        <v>138</v>
      </c>
      <c r="K7" s="228"/>
      <c r="L7" s="227">
        <f>+K7*3</f>
        <v>0</v>
      </c>
      <c r="M7" s="367"/>
      <c r="N7" s="366">
        <v>0</v>
      </c>
      <c r="O7" s="74">
        <v>21</v>
      </c>
      <c r="P7" s="75">
        <f t="shared" si="0"/>
        <v>126</v>
      </c>
      <c r="Q7" s="218"/>
      <c r="R7" s="9">
        <f t="shared" si="1"/>
        <v>126</v>
      </c>
      <c r="S7" s="106"/>
      <c r="T7" s="5"/>
      <c r="U7" s="32">
        <f>+U5-U6+0.01</f>
        <v>1.3664059900166967</v>
      </c>
      <c r="V7" s="47"/>
      <c r="W7" s="33"/>
      <c r="X7" s="262" t="s">
        <v>59</v>
      </c>
    </row>
    <row r="8" spans="8:29">
      <c r="H8" s="251" t="s">
        <v>50</v>
      </c>
      <c r="I8" s="275" t="s">
        <v>387</v>
      </c>
      <c r="J8" s="276" t="s">
        <v>388</v>
      </c>
      <c r="K8" s="277"/>
      <c r="L8" s="278">
        <v>0</v>
      </c>
      <c r="M8" s="368"/>
      <c r="N8" s="369">
        <v>0</v>
      </c>
      <c r="O8" s="277">
        <v>18</v>
      </c>
      <c r="P8" s="278">
        <f t="shared" si="0"/>
        <v>108</v>
      </c>
      <c r="Q8" s="374"/>
      <c r="R8" s="278">
        <f t="shared" si="1"/>
        <v>108</v>
      </c>
      <c r="S8" s="280"/>
      <c r="T8" s="5"/>
      <c r="U8" s="34">
        <v>150</v>
      </c>
      <c r="V8" s="335">
        <f>+U8-U7</f>
        <v>148.63359400998331</v>
      </c>
      <c r="W8" s="39" t="s">
        <v>63</v>
      </c>
      <c r="X8" s="263">
        <f>150-V8</f>
        <v>1.3664059900166876</v>
      </c>
    </row>
    <row r="9" spans="8:29">
      <c r="H9" s="83"/>
      <c r="I9" s="25" t="s">
        <v>2</v>
      </c>
      <c r="J9" s="81" t="s">
        <v>107</v>
      </c>
      <c r="K9" s="228"/>
      <c r="L9" s="227">
        <f>+K9*3</f>
        <v>0</v>
      </c>
      <c r="M9" s="367"/>
      <c r="N9" s="366">
        <f>+M9*3</f>
        <v>0</v>
      </c>
      <c r="O9" s="74">
        <v>23</v>
      </c>
      <c r="P9" s="75">
        <f t="shared" si="0"/>
        <v>138</v>
      </c>
      <c r="Q9" s="218"/>
      <c r="R9" s="9">
        <f t="shared" si="1"/>
        <v>138</v>
      </c>
      <c r="S9" s="138"/>
      <c r="T9" s="5"/>
      <c r="X9" s="37"/>
    </row>
    <row r="10" spans="8:29" ht="15" customHeight="1">
      <c r="H10" s="242" t="s">
        <v>232</v>
      </c>
      <c r="I10" s="188" t="s">
        <v>42</v>
      </c>
      <c r="J10" s="242" t="s">
        <v>119</v>
      </c>
      <c r="K10" s="192"/>
      <c r="L10" s="193">
        <f>+K10*3</f>
        <v>0</v>
      </c>
      <c r="M10" s="368"/>
      <c r="N10" s="369">
        <f>+M10*3</f>
        <v>0</v>
      </c>
      <c r="O10" s="192"/>
      <c r="P10" s="193">
        <f t="shared" si="0"/>
        <v>0</v>
      </c>
      <c r="Q10" s="221"/>
      <c r="R10" s="193">
        <f t="shared" si="1"/>
        <v>0</v>
      </c>
      <c r="S10" s="197"/>
      <c r="T10" s="5"/>
      <c r="U10" s="258">
        <v>988</v>
      </c>
      <c r="V10" s="259">
        <v>118.76</v>
      </c>
      <c r="W10" s="260">
        <v>869.24</v>
      </c>
      <c r="X10" s="333" t="s">
        <v>349</v>
      </c>
      <c r="Y10" s="266"/>
    </row>
    <row r="11" spans="8:29">
      <c r="H11" s="251" t="s">
        <v>50</v>
      </c>
      <c r="I11" s="275" t="s">
        <v>1</v>
      </c>
      <c r="J11" s="276" t="s">
        <v>106</v>
      </c>
      <c r="K11" s="277"/>
      <c r="L11" s="278">
        <f>3*K11</f>
        <v>0</v>
      </c>
      <c r="M11" s="368"/>
      <c r="N11" s="369">
        <f>3*M11</f>
        <v>0</v>
      </c>
      <c r="O11" s="277"/>
      <c r="P11" s="278">
        <f t="shared" si="0"/>
        <v>0</v>
      </c>
      <c r="Q11" s="279"/>
      <c r="R11" s="278">
        <f t="shared" si="1"/>
        <v>0</v>
      </c>
      <c r="S11" s="280"/>
      <c r="T11" s="5"/>
      <c r="U11" s="326">
        <f>+V11+W11</f>
        <v>935.44245547834896</v>
      </c>
      <c r="V11" s="256">
        <f>+V10*W11/W10</f>
        <v>112.44245547834892</v>
      </c>
      <c r="W11" s="261">
        <v>823</v>
      </c>
      <c r="X11" s="334" t="s">
        <v>348</v>
      </c>
    </row>
    <row r="12" spans="8:29">
      <c r="H12" s="95"/>
      <c r="I12" s="25" t="s">
        <v>56</v>
      </c>
      <c r="J12" s="81" t="s">
        <v>136</v>
      </c>
      <c r="K12" s="228"/>
      <c r="L12" s="227">
        <v>0</v>
      </c>
      <c r="M12" s="367"/>
      <c r="N12" s="366">
        <f>3*M12</f>
        <v>0</v>
      </c>
      <c r="O12" s="28">
        <v>20</v>
      </c>
      <c r="P12" s="75">
        <f t="shared" si="0"/>
        <v>120</v>
      </c>
      <c r="Q12" s="374"/>
      <c r="R12" s="11">
        <f t="shared" si="1"/>
        <v>120</v>
      </c>
      <c r="S12" s="107"/>
      <c r="T12" s="5"/>
      <c r="U12" s="32">
        <f>+U10-U11</f>
        <v>52.557544521651039</v>
      </c>
      <c r="V12" s="47"/>
      <c r="W12" s="33"/>
      <c r="X12" s="262" t="s">
        <v>59</v>
      </c>
    </row>
    <row r="13" spans="8:29">
      <c r="H13" s="242" t="s">
        <v>232</v>
      </c>
      <c r="I13" s="188" t="s">
        <v>16</v>
      </c>
      <c r="J13" s="242" t="s">
        <v>113</v>
      </c>
      <c r="K13" s="192"/>
      <c r="L13" s="193">
        <v>0</v>
      </c>
      <c r="M13" s="368"/>
      <c r="N13" s="369">
        <v>0</v>
      </c>
      <c r="O13" s="192"/>
      <c r="P13" s="193">
        <f t="shared" si="0"/>
        <v>0</v>
      </c>
      <c r="Q13" s="221"/>
      <c r="R13" s="193">
        <f t="shared" si="1"/>
        <v>0</v>
      </c>
      <c r="S13" s="197"/>
      <c r="T13" s="5"/>
      <c r="U13" s="34">
        <v>150</v>
      </c>
      <c r="V13" s="38">
        <f>+U13-U12</f>
        <v>97.442455478348961</v>
      </c>
      <c r="W13" s="39" t="s">
        <v>63</v>
      </c>
      <c r="X13" s="263">
        <f>150-V13</f>
        <v>52.557544521651039</v>
      </c>
    </row>
    <row r="14" spans="8:29">
      <c r="H14" s="83"/>
      <c r="I14" s="25" t="s">
        <v>92</v>
      </c>
      <c r="J14" s="81" t="s">
        <v>109</v>
      </c>
      <c r="K14" s="228"/>
      <c r="L14" s="227">
        <v>0</v>
      </c>
      <c r="M14" s="367"/>
      <c r="N14" s="366">
        <v>0</v>
      </c>
      <c r="O14" s="74"/>
      <c r="P14" s="75">
        <f t="shared" si="0"/>
        <v>0</v>
      </c>
      <c r="Q14" s="217"/>
      <c r="R14" s="9">
        <f t="shared" si="1"/>
        <v>0</v>
      </c>
      <c r="S14" s="107"/>
      <c r="T14" s="5"/>
      <c r="U14" s="10"/>
      <c r="X14" s="37"/>
    </row>
    <row r="15" spans="8:29">
      <c r="H15" s="83"/>
      <c r="I15" s="25" t="s">
        <v>20</v>
      </c>
      <c r="J15" s="81" t="s">
        <v>195</v>
      </c>
      <c r="K15" s="228"/>
      <c r="L15" s="227">
        <f>+K15*3</f>
        <v>0</v>
      </c>
      <c r="M15" s="367"/>
      <c r="N15" s="366">
        <f>+M15*3</f>
        <v>0</v>
      </c>
      <c r="O15" s="74"/>
      <c r="P15" s="75">
        <f t="shared" si="0"/>
        <v>0</v>
      </c>
      <c r="Q15" s="217"/>
      <c r="R15" s="9">
        <f t="shared" si="1"/>
        <v>0</v>
      </c>
      <c r="S15" s="107"/>
      <c r="T15" s="5"/>
      <c r="U15" s="258">
        <v>880</v>
      </c>
      <c r="V15" s="259">
        <v>114.4</v>
      </c>
      <c r="W15" s="327">
        <v>765.6</v>
      </c>
      <c r="X15" s="100"/>
      <c r="Y15" s="266"/>
      <c r="Z15" s="311" t="s">
        <v>291</v>
      </c>
      <c r="AA15" s="177"/>
      <c r="AB15" s="178"/>
      <c r="AC15" s="432" t="s">
        <v>290</v>
      </c>
    </row>
    <row r="16" spans="8:29">
      <c r="H16" s="251" t="s">
        <v>50</v>
      </c>
      <c r="I16" s="275" t="s">
        <v>272</v>
      </c>
      <c r="J16" s="276" t="s">
        <v>271</v>
      </c>
      <c r="K16" s="277"/>
      <c r="L16" s="278">
        <v>0</v>
      </c>
      <c r="M16" s="368"/>
      <c r="N16" s="369">
        <v>0</v>
      </c>
      <c r="O16" s="277"/>
      <c r="P16" s="278">
        <f t="shared" si="0"/>
        <v>0</v>
      </c>
      <c r="Q16" s="279"/>
      <c r="R16" s="278">
        <f t="shared" si="1"/>
        <v>0</v>
      </c>
      <c r="S16" s="280"/>
      <c r="T16" s="5"/>
      <c r="U16" s="326">
        <f>+V16+W16</f>
        <v>945.97701149425291</v>
      </c>
      <c r="V16" s="256">
        <f>+V15*W16/W15</f>
        <v>122.97701149425289</v>
      </c>
      <c r="W16" s="261">
        <v>823</v>
      </c>
      <c r="X16" s="36" t="s">
        <v>350</v>
      </c>
      <c r="Z16" s="312" t="s">
        <v>292</v>
      </c>
      <c r="AA16" s="313" t="s">
        <v>293</v>
      </c>
      <c r="AB16" s="312" t="s">
        <v>277</v>
      </c>
      <c r="AC16" s="433"/>
    </row>
    <row r="17" spans="1:29">
      <c r="H17" s="95"/>
      <c r="I17" s="25" t="s">
        <v>25</v>
      </c>
      <c r="J17" s="81" t="s">
        <v>118</v>
      </c>
      <c r="K17" s="228"/>
      <c r="L17" s="227">
        <f>+K17*3</f>
        <v>0</v>
      </c>
      <c r="M17" s="367"/>
      <c r="N17" s="366">
        <f>+M17*3</f>
        <v>0</v>
      </c>
      <c r="O17" s="28">
        <v>18</v>
      </c>
      <c r="P17" s="75">
        <f t="shared" si="0"/>
        <v>108</v>
      </c>
      <c r="Q17" s="218"/>
      <c r="R17" s="11">
        <f t="shared" si="1"/>
        <v>108</v>
      </c>
      <c r="S17" s="107"/>
      <c r="T17" s="5"/>
      <c r="U17" s="32">
        <f>+U15-U16</f>
        <v>-65.977011494252906</v>
      </c>
      <c r="V17" s="47"/>
      <c r="W17" s="33"/>
      <c r="X17" s="262" t="s">
        <v>59</v>
      </c>
      <c r="Z17" s="282">
        <v>43673</v>
      </c>
      <c r="AA17" s="317">
        <v>1</v>
      </c>
      <c r="AB17" s="281">
        <v>3</v>
      </c>
      <c r="AC17" s="174" t="s">
        <v>157</v>
      </c>
    </row>
    <row r="18" spans="1:29">
      <c r="H18" s="95"/>
      <c r="I18" s="25" t="s">
        <v>41</v>
      </c>
      <c r="J18" s="81" t="s">
        <v>112</v>
      </c>
      <c r="K18" s="228"/>
      <c r="L18" s="227">
        <f>+K18*3</f>
        <v>0</v>
      </c>
      <c r="M18" s="367"/>
      <c r="N18" s="366">
        <f>+M18*3</f>
        <v>0</v>
      </c>
      <c r="O18" s="28">
        <v>20</v>
      </c>
      <c r="P18" s="75">
        <f t="shared" si="0"/>
        <v>120</v>
      </c>
      <c r="Q18" s="218"/>
      <c r="R18" s="11">
        <f t="shared" si="1"/>
        <v>120</v>
      </c>
      <c r="S18" s="107"/>
      <c r="T18" s="5"/>
      <c r="U18" s="34">
        <v>150</v>
      </c>
      <c r="V18" s="38">
        <f>+U18-U17</f>
        <v>215.97701149425291</v>
      </c>
      <c r="W18" s="39" t="s">
        <v>63</v>
      </c>
      <c r="X18" s="263">
        <f>150-V18</f>
        <v>-65.977011494252906</v>
      </c>
      <c r="Z18" s="282">
        <f>1+Z17</f>
        <v>43674</v>
      </c>
      <c r="AA18" s="318">
        <v>1</v>
      </c>
      <c r="AB18" s="281">
        <v>5</v>
      </c>
      <c r="AC18" s="33" t="s">
        <v>156</v>
      </c>
    </row>
    <row r="19" spans="1:29">
      <c r="A19" s="215"/>
      <c r="H19" s="83"/>
      <c r="I19" s="126" t="s">
        <v>71</v>
      </c>
      <c r="J19" s="80" t="s">
        <v>139</v>
      </c>
      <c r="K19" s="226"/>
      <c r="L19" s="227">
        <f>5*K19</f>
        <v>0</v>
      </c>
      <c r="M19" s="365"/>
      <c r="N19" s="366">
        <f>5*M19</f>
        <v>0</v>
      </c>
      <c r="O19" s="76"/>
      <c r="P19" s="75">
        <f t="shared" si="0"/>
        <v>0</v>
      </c>
      <c r="Q19" s="217"/>
      <c r="R19" s="11">
        <f t="shared" si="1"/>
        <v>0</v>
      </c>
      <c r="S19" s="106"/>
      <c r="T19" s="5"/>
      <c r="U19" s="10"/>
      <c r="X19" s="37"/>
      <c r="Z19" s="282">
        <f t="shared" ref="Z19:Z27" si="2">1+Z18</f>
        <v>43675</v>
      </c>
      <c r="AA19" s="318">
        <v>1</v>
      </c>
      <c r="AB19" s="281">
        <v>5</v>
      </c>
      <c r="AC19" s="33" t="s">
        <v>151</v>
      </c>
    </row>
    <row r="20" spans="1:29">
      <c r="A20" s="215"/>
      <c r="H20" s="141"/>
      <c r="I20" s="25" t="s">
        <v>28</v>
      </c>
      <c r="J20" s="81" t="s">
        <v>122</v>
      </c>
      <c r="K20" s="228"/>
      <c r="L20" s="227">
        <f>+K20*3</f>
        <v>0</v>
      </c>
      <c r="M20" s="367"/>
      <c r="N20" s="366">
        <f>+M20*3</f>
        <v>0</v>
      </c>
      <c r="O20" s="74">
        <v>19</v>
      </c>
      <c r="P20" s="75">
        <f t="shared" si="0"/>
        <v>114</v>
      </c>
      <c r="Q20" s="217"/>
      <c r="R20" s="9">
        <f t="shared" si="1"/>
        <v>114</v>
      </c>
      <c r="S20" s="107"/>
      <c r="T20" s="5"/>
      <c r="U20" s="258">
        <v>900</v>
      </c>
      <c r="V20" s="259">
        <f>+U20*0.13</f>
        <v>117</v>
      </c>
      <c r="W20" s="327">
        <f>+V20+U20</f>
        <v>1017</v>
      </c>
      <c r="X20" s="100"/>
      <c r="Y20" s="266"/>
      <c r="Z20" s="282">
        <f t="shared" si="2"/>
        <v>43676</v>
      </c>
      <c r="AA20" s="318">
        <v>1</v>
      </c>
      <c r="AB20" s="281">
        <v>2</v>
      </c>
      <c r="AC20" s="33" t="s">
        <v>152</v>
      </c>
    </row>
    <row r="21" spans="1:29">
      <c r="H21" s="141"/>
      <c r="I21" s="269" t="s">
        <v>270</v>
      </c>
      <c r="J21" s="270" t="s">
        <v>273</v>
      </c>
      <c r="K21" s="271"/>
      <c r="L21" s="272">
        <v>0</v>
      </c>
      <c r="M21" s="367"/>
      <c r="N21" s="366">
        <v>0</v>
      </c>
      <c r="O21" s="271"/>
      <c r="P21" s="272">
        <f t="shared" si="0"/>
        <v>0</v>
      </c>
      <c r="Q21" s="273"/>
      <c r="R21" s="272">
        <f t="shared" si="1"/>
        <v>0</v>
      </c>
      <c r="S21" s="274"/>
      <c r="T21" s="5"/>
      <c r="U21" s="326">
        <f>+V21+W21</f>
        <v>802.83185840707961</v>
      </c>
      <c r="V21" s="256">
        <f>+V20*W21/W20</f>
        <v>82.83185840707965</v>
      </c>
      <c r="W21" s="261">
        <v>720</v>
      </c>
      <c r="X21" s="36" t="s">
        <v>350</v>
      </c>
      <c r="Z21" s="282">
        <f t="shared" si="2"/>
        <v>43677</v>
      </c>
      <c r="AA21" s="318"/>
      <c r="AB21" s="281"/>
      <c r="AC21" s="33" t="s">
        <v>153</v>
      </c>
    </row>
    <row r="22" spans="1:29">
      <c r="A22" s="215"/>
      <c r="H22" s="142"/>
      <c r="I22" s="25" t="s">
        <v>4</v>
      </c>
      <c r="J22" s="81" t="s">
        <v>111</v>
      </c>
      <c r="K22" s="228"/>
      <c r="L22" s="227">
        <v>0</v>
      </c>
      <c r="M22" s="367"/>
      <c r="N22" s="366">
        <f>+M22*3</f>
        <v>0</v>
      </c>
      <c r="O22" s="28">
        <v>22</v>
      </c>
      <c r="P22" s="75">
        <f t="shared" si="0"/>
        <v>132</v>
      </c>
      <c r="Q22" s="218"/>
      <c r="R22" s="11">
        <f t="shared" si="1"/>
        <v>132</v>
      </c>
      <c r="S22" s="107"/>
      <c r="T22" s="5"/>
      <c r="U22" s="32">
        <f>+U20-U21</f>
        <v>97.168141592920392</v>
      </c>
      <c r="V22" s="47"/>
      <c r="W22" s="33"/>
      <c r="X22" s="262" t="s">
        <v>59</v>
      </c>
      <c r="Z22" s="282">
        <f t="shared" si="2"/>
        <v>43678</v>
      </c>
      <c r="AA22" s="318"/>
      <c r="AB22" s="281"/>
      <c r="AC22" s="33" t="s">
        <v>154</v>
      </c>
    </row>
    <row r="23" spans="1:29">
      <c r="A23" s="215"/>
      <c r="H23" s="142"/>
      <c r="I23" s="25" t="s">
        <v>9</v>
      </c>
      <c r="J23" s="81" t="s">
        <v>128</v>
      </c>
      <c r="K23" s="228"/>
      <c r="L23" s="227">
        <v>0</v>
      </c>
      <c r="M23" s="367"/>
      <c r="N23" s="366">
        <f>3*M23</f>
        <v>0</v>
      </c>
      <c r="O23" s="28">
        <v>19</v>
      </c>
      <c r="P23" s="75">
        <f t="shared" si="0"/>
        <v>114</v>
      </c>
      <c r="Q23" s="374"/>
      <c r="R23" s="11">
        <f t="shared" si="1"/>
        <v>114</v>
      </c>
      <c r="S23" s="107"/>
      <c r="T23" s="5"/>
      <c r="U23" s="34">
        <v>150</v>
      </c>
      <c r="V23" s="38">
        <f>+U23-U22</f>
        <v>52.831858407079608</v>
      </c>
      <c r="W23" s="39" t="s">
        <v>63</v>
      </c>
      <c r="X23" s="263">
        <f>150-V23</f>
        <v>97.168141592920392</v>
      </c>
      <c r="Z23" s="282">
        <f t="shared" si="2"/>
        <v>43679</v>
      </c>
      <c r="AA23" s="318"/>
      <c r="AB23" s="281"/>
      <c r="AC23" s="175" t="s">
        <v>155</v>
      </c>
    </row>
    <row r="24" spans="1:29">
      <c r="A24" s="215"/>
      <c r="H24" s="142"/>
      <c r="I24" s="25" t="s">
        <v>236</v>
      </c>
      <c r="J24" s="96" t="s">
        <v>235</v>
      </c>
      <c r="K24" s="29"/>
      <c r="L24" s="27">
        <v>0</v>
      </c>
      <c r="M24" s="367"/>
      <c r="N24" s="366">
        <v>0</v>
      </c>
      <c r="O24" s="28">
        <v>15</v>
      </c>
      <c r="P24" s="11">
        <f t="shared" si="0"/>
        <v>90</v>
      </c>
      <c r="Q24" s="374"/>
      <c r="R24" s="11">
        <f t="shared" si="1"/>
        <v>90</v>
      </c>
      <c r="S24" s="241"/>
      <c r="T24" s="5"/>
      <c r="U24" s="10"/>
      <c r="X24" s="37"/>
      <c r="Z24" s="282">
        <f t="shared" si="2"/>
        <v>43680</v>
      </c>
      <c r="AA24" s="318"/>
      <c r="AB24" s="281"/>
      <c r="AC24" s="61"/>
    </row>
    <row r="25" spans="1:29">
      <c r="H25" s="142"/>
      <c r="I25" s="269" t="s">
        <v>328</v>
      </c>
      <c r="J25" s="270" t="s">
        <v>329</v>
      </c>
      <c r="K25" s="271"/>
      <c r="L25" s="272">
        <v>0</v>
      </c>
      <c r="M25" s="367"/>
      <c r="N25" s="366">
        <v>0</v>
      </c>
      <c r="O25" s="271">
        <v>19</v>
      </c>
      <c r="P25" s="272">
        <f t="shared" si="0"/>
        <v>114</v>
      </c>
      <c r="Q25" s="273"/>
      <c r="R25" s="272">
        <f t="shared" si="1"/>
        <v>114</v>
      </c>
      <c r="S25" s="274"/>
      <c r="T25" s="5"/>
      <c r="Z25" s="282">
        <f t="shared" si="2"/>
        <v>43681</v>
      </c>
      <c r="AA25" s="318"/>
      <c r="AB25" s="281"/>
      <c r="AC25" s="61"/>
    </row>
    <row r="26" spans="1:29">
      <c r="A26" s="237"/>
      <c r="B26" s="237"/>
      <c r="C26" s="237"/>
      <c r="D26" s="238"/>
      <c r="E26" s="237"/>
      <c r="F26" s="239"/>
      <c r="G26" s="237"/>
      <c r="H26" s="142"/>
      <c r="I26" s="25" t="s">
        <v>51</v>
      </c>
      <c r="J26" s="96" t="s">
        <v>134</v>
      </c>
      <c r="K26" s="29"/>
      <c r="L26" s="27">
        <f>+K26*3</f>
        <v>0</v>
      </c>
      <c r="M26" s="367"/>
      <c r="N26" s="366">
        <f>+M26*3</f>
        <v>0</v>
      </c>
      <c r="O26" s="28"/>
      <c r="P26" s="11">
        <f t="shared" si="0"/>
        <v>0</v>
      </c>
      <c r="Q26" s="218"/>
      <c r="R26" s="240">
        <f t="shared" si="1"/>
        <v>0</v>
      </c>
      <c r="S26" s="241"/>
      <c r="T26" s="5"/>
      <c r="U26" s="332" t="s">
        <v>382</v>
      </c>
      <c r="Z26" s="282">
        <f t="shared" si="2"/>
        <v>43682</v>
      </c>
      <c r="AA26" s="318"/>
      <c r="AB26" s="281"/>
      <c r="AC26" s="65"/>
    </row>
    <row r="27" spans="1:29">
      <c r="A27" s="215"/>
      <c r="H27" s="142"/>
      <c r="I27" s="25" t="s">
        <v>61</v>
      </c>
      <c r="J27" s="96" t="s">
        <v>137</v>
      </c>
      <c r="K27" s="28"/>
      <c r="L27" s="11">
        <f>3*K27</f>
        <v>0</v>
      </c>
      <c r="M27" s="367"/>
      <c r="N27" s="366">
        <f>3*M27</f>
        <v>0</v>
      </c>
      <c r="O27" s="28"/>
      <c r="P27" s="11">
        <f t="shared" si="0"/>
        <v>0</v>
      </c>
      <c r="Q27" s="374"/>
      <c r="R27" s="361">
        <f t="shared" si="1"/>
        <v>0</v>
      </c>
      <c r="S27" s="241"/>
      <c r="T27" s="5"/>
      <c r="Z27" s="282">
        <f t="shared" si="2"/>
        <v>43683</v>
      </c>
      <c r="AA27" s="319"/>
      <c r="AB27" s="281"/>
      <c r="AC27" s="66"/>
    </row>
    <row r="28" spans="1:29">
      <c r="A28" s="215"/>
      <c r="H28" s="95"/>
      <c r="I28" s="25" t="s">
        <v>14</v>
      </c>
      <c r="J28" s="81" t="s">
        <v>125</v>
      </c>
      <c r="K28" s="228"/>
      <c r="L28" s="227">
        <f>+K28*3</f>
        <v>0</v>
      </c>
      <c r="M28" s="367"/>
      <c r="N28" s="366">
        <f>3*M28</f>
        <v>0</v>
      </c>
      <c r="O28" s="28">
        <v>16</v>
      </c>
      <c r="P28" s="75">
        <f t="shared" si="0"/>
        <v>96</v>
      </c>
      <c r="Q28" s="374"/>
      <c r="R28" s="11">
        <f t="shared" si="1"/>
        <v>96</v>
      </c>
      <c r="S28" s="107"/>
      <c r="T28" s="5"/>
      <c r="U28" s="287" t="s">
        <v>347</v>
      </c>
      <c r="Z28" s="314" t="s">
        <v>150</v>
      </c>
      <c r="AA28" s="315">
        <f>SUM(AA17:AA27)</f>
        <v>4</v>
      </c>
      <c r="AB28" s="316" t="s">
        <v>148</v>
      </c>
      <c r="AC28" s="68"/>
    </row>
    <row r="29" spans="1:29">
      <c r="A29" s="215"/>
      <c r="H29" s="83"/>
      <c r="I29" s="126" t="s">
        <v>79</v>
      </c>
      <c r="J29" s="82" t="s">
        <v>110</v>
      </c>
      <c r="K29" s="228"/>
      <c r="L29" s="227">
        <v>0</v>
      </c>
      <c r="M29" s="367"/>
      <c r="N29" s="366">
        <v>0</v>
      </c>
      <c r="O29" s="76">
        <v>22</v>
      </c>
      <c r="P29" s="75">
        <f t="shared" si="0"/>
        <v>132</v>
      </c>
      <c r="Q29" s="217"/>
      <c r="R29" s="11">
        <f t="shared" si="1"/>
        <v>132</v>
      </c>
      <c r="S29" s="106"/>
      <c r="T29" s="5"/>
      <c r="Z29" s="184"/>
      <c r="AA29" s="171">
        <f>SUM(AB17:AB27)</f>
        <v>15</v>
      </c>
      <c r="AB29" s="185" t="s">
        <v>149</v>
      </c>
      <c r="AC29" s="69"/>
    </row>
    <row r="30" spans="1:29" ht="16.5">
      <c r="H30" s="83"/>
      <c r="I30" s="269" t="s">
        <v>214</v>
      </c>
      <c r="J30" s="270" t="s">
        <v>215</v>
      </c>
      <c r="K30" s="271"/>
      <c r="L30" s="272">
        <v>0</v>
      </c>
      <c r="M30" s="367"/>
      <c r="N30" s="366">
        <v>0</v>
      </c>
      <c r="O30" s="271"/>
      <c r="P30" s="272">
        <f t="shared" si="0"/>
        <v>0</v>
      </c>
      <c r="Q30" s="374"/>
      <c r="R30" s="272">
        <f t="shared" si="1"/>
        <v>0</v>
      </c>
      <c r="S30" s="274"/>
      <c r="T30" s="5"/>
      <c r="Z30" s="186" t="s">
        <v>160</v>
      </c>
      <c r="AA30" s="284">
        <f>+AA29/AA28</f>
        <v>3.75</v>
      </c>
      <c r="AB30" s="173" t="s">
        <v>150</v>
      </c>
      <c r="AC30" s="65"/>
    </row>
    <row r="31" spans="1:29">
      <c r="A31" s="237"/>
      <c r="B31" s="237"/>
      <c r="C31" s="237"/>
      <c r="D31" s="238"/>
      <c r="E31" s="237"/>
      <c r="F31" s="239"/>
      <c r="G31" s="237"/>
      <c r="H31" s="142"/>
      <c r="I31" s="25" t="s">
        <v>45</v>
      </c>
      <c r="J31" s="96" t="s">
        <v>133</v>
      </c>
      <c r="K31" s="29"/>
      <c r="L31" s="27">
        <f>+K31*3</f>
        <v>0</v>
      </c>
      <c r="M31" s="367"/>
      <c r="N31" s="366">
        <f>+M31*3</f>
        <v>0</v>
      </c>
      <c r="O31" s="28">
        <v>15</v>
      </c>
      <c r="P31" s="11">
        <f t="shared" si="0"/>
        <v>90</v>
      </c>
      <c r="Q31" s="218"/>
      <c r="R31" s="240">
        <f t="shared" si="1"/>
        <v>90</v>
      </c>
      <c r="S31" s="241"/>
      <c r="T31" s="5"/>
    </row>
    <row r="32" spans="1:29">
      <c r="A32" s="215"/>
      <c r="H32" s="142"/>
      <c r="I32" s="25" t="s">
        <v>13</v>
      </c>
      <c r="J32" s="81" t="s">
        <v>319</v>
      </c>
      <c r="K32" s="228"/>
      <c r="L32" s="227">
        <f>3*K32</f>
        <v>0</v>
      </c>
      <c r="M32" s="367"/>
      <c r="N32" s="366">
        <f>5*M32</f>
        <v>0</v>
      </c>
      <c r="O32" s="28">
        <v>20</v>
      </c>
      <c r="P32" s="75">
        <f t="shared" si="0"/>
        <v>120</v>
      </c>
      <c r="Q32" s="374"/>
      <c r="R32" s="57">
        <f t="shared" si="1"/>
        <v>120</v>
      </c>
      <c r="S32" s="107"/>
      <c r="T32" s="5"/>
    </row>
    <row r="33" spans="1:32">
      <c r="A33" s="215"/>
      <c r="H33" s="95"/>
      <c r="I33" s="25" t="s">
        <v>31</v>
      </c>
      <c r="J33" s="81" t="s">
        <v>127</v>
      </c>
      <c r="K33" s="228"/>
      <c r="L33" s="227">
        <v>0</v>
      </c>
      <c r="M33" s="367"/>
      <c r="N33" s="366">
        <v>0</v>
      </c>
      <c r="O33" s="28">
        <v>22</v>
      </c>
      <c r="P33" s="75">
        <f t="shared" si="0"/>
        <v>132</v>
      </c>
      <c r="Q33" s="374"/>
      <c r="R33" s="11">
        <f t="shared" si="1"/>
        <v>132</v>
      </c>
      <c r="S33" s="107"/>
      <c r="T33" s="5"/>
    </row>
    <row r="34" spans="1:32" s="4" customFormat="1">
      <c r="A34" s="215"/>
      <c r="B34"/>
      <c r="C34"/>
      <c r="D34" s="1"/>
      <c r="E34"/>
      <c r="F34" s="2"/>
      <c r="G34"/>
      <c r="H34" s="95"/>
      <c r="I34" s="25" t="s">
        <v>30</v>
      </c>
      <c r="J34" s="81" t="s">
        <v>126</v>
      </c>
      <c r="K34" s="228"/>
      <c r="L34" s="227">
        <f>+K34*3</f>
        <v>0</v>
      </c>
      <c r="M34" s="367"/>
      <c r="N34" s="366">
        <f>+M34*3</f>
        <v>0</v>
      </c>
      <c r="O34" s="28">
        <v>22</v>
      </c>
      <c r="P34" s="75">
        <f t="shared" si="0"/>
        <v>132</v>
      </c>
      <c r="Q34" s="218"/>
      <c r="R34" s="320">
        <f t="shared" si="1"/>
        <v>132</v>
      </c>
      <c r="S34" s="107"/>
      <c r="T34" s="5"/>
      <c r="U34"/>
      <c r="V34" s="46"/>
      <c r="W34"/>
      <c r="X34"/>
      <c r="Y34"/>
      <c r="Z34"/>
      <c r="AA34"/>
      <c r="AB34"/>
      <c r="AC34"/>
      <c r="AD34"/>
      <c r="AE34"/>
      <c r="AF34"/>
    </row>
    <row r="35" spans="1:32">
      <c r="A35" s="215"/>
      <c r="H35" s="83"/>
      <c r="I35" s="269" t="s">
        <v>186</v>
      </c>
      <c r="J35" s="270" t="s">
        <v>187</v>
      </c>
      <c r="K35" s="271"/>
      <c r="L35" s="272">
        <v>0</v>
      </c>
      <c r="M35" s="367"/>
      <c r="N35" s="366">
        <v>0</v>
      </c>
      <c r="O35" s="271"/>
      <c r="P35" s="272">
        <f t="shared" si="0"/>
        <v>0</v>
      </c>
      <c r="Q35" s="273"/>
      <c r="R35" s="272">
        <f t="shared" si="1"/>
        <v>0</v>
      </c>
      <c r="S35" s="274"/>
      <c r="T35" s="5"/>
    </row>
    <row r="36" spans="1:32">
      <c r="A36" s="215"/>
      <c r="H36" s="83"/>
      <c r="I36" s="25" t="s">
        <v>17</v>
      </c>
      <c r="J36" s="81" t="s">
        <v>123</v>
      </c>
      <c r="K36" s="228"/>
      <c r="L36" s="227">
        <f>+K36*3</f>
        <v>0</v>
      </c>
      <c r="M36" s="367"/>
      <c r="N36" s="366">
        <v>0</v>
      </c>
      <c r="O36" s="74">
        <v>13</v>
      </c>
      <c r="P36" s="75">
        <f t="shared" si="0"/>
        <v>78</v>
      </c>
      <c r="Q36" s="218"/>
      <c r="R36" s="11">
        <f t="shared" si="1"/>
        <v>78</v>
      </c>
      <c r="S36" s="107"/>
      <c r="T36" s="5"/>
    </row>
    <row r="37" spans="1:32">
      <c r="A37" s="215"/>
      <c r="H37" s="83"/>
      <c r="I37" s="25" t="s">
        <v>60</v>
      </c>
      <c r="J37" s="81" t="s">
        <v>132</v>
      </c>
      <c r="K37" s="228"/>
      <c r="L37" s="227">
        <v>0</v>
      </c>
      <c r="M37" s="367"/>
      <c r="N37" s="366">
        <v>0</v>
      </c>
      <c r="O37" s="74"/>
      <c r="P37" s="75">
        <f>IF(O37&gt;25,150,(O37)*6)</f>
        <v>0</v>
      </c>
      <c r="Q37" s="218"/>
      <c r="R37" s="11">
        <f>+L37+N37+P37+Q37</f>
        <v>0</v>
      </c>
      <c r="S37" s="107"/>
      <c r="T37" s="5"/>
    </row>
    <row r="38" spans="1:32">
      <c r="H38" s="142"/>
      <c r="I38" s="25" t="s">
        <v>233</v>
      </c>
      <c r="J38" s="81" t="s">
        <v>234</v>
      </c>
      <c r="K38" s="228"/>
      <c r="L38" s="227">
        <v>0</v>
      </c>
      <c r="M38" s="367"/>
      <c r="N38" s="366">
        <f>3*M38</f>
        <v>0</v>
      </c>
      <c r="O38" s="28"/>
      <c r="P38" s="75">
        <f t="shared" si="0"/>
        <v>0</v>
      </c>
      <c r="Q38" s="374"/>
      <c r="R38" s="57">
        <f t="shared" si="1"/>
        <v>0</v>
      </c>
      <c r="S38" s="107"/>
      <c r="T38" s="5"/>
      <c r="AF38" s="4"/>
    </row>
    <row r="39" spans="1:32">
      <c r="A39" s="215"/>
      <c r="H39" s="95"/>
      <c r="I39" s="25" t="s">
        <v>8</v>
      </c>
      <c r="J39" s="81" t="s">
        <v>120</v>
      </c>
      <c r="K39" s="228"/>
      <c r="L39" s="227">
        <v>0</v>
      </c>
      <c r="M39" s="367"/>
      <c r="N39" s="366">
        <v>0</v>
      </c>
      <c r="O39" s="28"/>
      <c r="P39" s="75">
        <f t="shared" si="0"/>
        <v>0</v>
      </c>
      <c r="Q39" s="218"/>
      <c r="R39" s="11">
        <f t="shared" si="1"/>
        <v>0</v>
      </c>
      <c r="S39" s="107"/>
      <c r="T39" s="5"/>
    </row>
    <row r="40" spans="1:32" ht="15.75">
      <c r="A40" s="215"/>
      <c r="H40" s="242" t="s">
        <v>232</v>
      </c>
      <c r="I40" s="188" t="s">
        <v>11</v>
      </c>
      <c r="J40" s="189" t="s">
        <v>130</v>
      </c>
      <c r="K40" s="192"/>
      <c r="L40" s="193">
        <f>+K40*3</f>
        <v>0</v>
      </c>
      <c r="M40" s="368"/>
      <c r="N40" s="369">
        <f>+M40*3</f>
        <v>0</v>
      </c>
      <c r="O40" s="192"/>
      <c r="P40" s="193">
        <f t="shared" si="0"/>
        <v>0</v>
      </c>
      <c r="Q40" s="221"/>
      <c r="R40" s="193">
        <f t="shared" si="1"/>
        <v>0</v>
      </c>
      <c r="S40" s="197"/>
      <c r="T40" s="5"/>
      <c r="V40" s="375">
        <v>12</v>
      </c>
      <c r="W40" s="376">
        <f>+V40/7*6</f>
        <v>10.285714285714285</v>
      </c>
    </row>
    <row r="41" spans="1:32" ht="15.75">
      <c r="H41" s="83"/>
      <c r="I41" s="25" t="s">
        <v>44</v>
      </c>
      <c r="J41" s="96" t="s">
        <v>124</v>
      </c>
      <c r="K41" s="228"/>
      <c r="L41" s="227">
        <f>+K41*3</f>
        <v>0</v>
      </c>
      <c r="M41" s="367"/>
      <c r="N41" s="366">
        <f>+M41*3</f>
        <v>0</v>
      </c>
      <c r="O41" s="113"/>
      <c r="P41" s="75">
        <f t="shared" si="0"/>
        <v>0</v>
      </c>
      <c r="Q41" s="218"/>
      <c r="R41" s="11">
        <f t="shared" si="1"/>
        <v>0</v>
      </c>
      <c r="S41" s="107"/>
      <c r="T41" s="5"/>
      <c r="V41" s="375">
        <v>20</v>
      </c>
      <c r="W41" s="376">
        <f>+V41/7*6</f>
        <v>17.142857142857142</v>
      </c>
    </row>
    <row r="42" spans="1:32" ht="15.75">
      <c r="H42" s="83"/>
      <c r="I42" s="25" t="s">
        <v>6</v>
      </c>
      <c r="J42" s="96" t="s">
        <v>116</v>
      </c>
      <c r="K42" s="228"/>
      <c r="L42" s="227">
        <f>+K42*3</f>
        <v>0</v>
      </c>
      <c r="M42" s="367"/>
      <c r="N42" s="366">
        <f>+M42*3</f>
        <v>0</v>
      </c>
      <c r="O42" s="74">
        <v>14</v>
      </c>
      <c r="P42" s="75">
        <f t="shared" si="0"/>
        <v>84</v>
      </c>
      <c r="Q42" s="220"/>
      <c r="R42" s="11">
        <f t="shared" si="1"/>
        <v>84</v>
      </c>
      <c r="S42" s="107"/>
      <c r="T42" s="5"/>
      <c r="V42" s="375">
        <v>8</v>
      </c>
      <c r="W42" s="377">
        <f>+W41-W40</f>
        <v>6.8571428571428577</v>
      </c>
    </row>
    <row r="43" spans="1:32">
      <c r="H43" s="95"/>
      <c r="I43" s="25" t="s">
        <v>53</v>
      </c>
      <c r="J43" s="81" t="s">
        <v>135</v>
      </c>
      <c r="K43" s="228"/>
      <c r="L43" s="227">
        <v>0</v>
      </c>
      <c r="M43" s="367"/>
      <c r="N43" s="366">
        <v>0</v>
      </c>
      <c r="O43" s="28"/>
      <c r="P43" s="75">
        <f t="shared" si="0"/>
        <v>0</v>
      </c>
      <c r="Q43" s="218"/>
      <c r="R43" s="11">
        <f t="shared" si="1"/>
        <v>0</v>
      </c>
      <c r="S43" s="107"/>
      <c r="T43" s="5"/>
    </row>
    <row r="44" spans="1:32">
      <c r="H44" s="81"/>
      <c r="I44" s="120" t="s">
        <v>12</v>
      </c>
      <c r="J44" s="121" t="s">
        <v>114</v>
      </c>
      <c r="K44" s="122"/>
      <c r="L44" s="15">
        <v>0</v>
      </c>
      <c r="M44" s="370"/>
      <c r="N44" s="371">
        <f>3*M44</f>
        <v>0</v>
      </c>
      <c r="O44" s="122"/>
      <c r="P44" s="15">
        <f t="shared" si="0"/>
        <v>0</v>
      </c>
      <c r="Q44" s="222"/>
      <c r="R44" s="362">
        <f t="shared" si="1"/>
        <v>0</v>
      </c>
      <c r="S44" s="363"/>
      <c r="T44" s="5"/>
    </row>
    <row r="45" spans="1:32">
      <c r="I45" s="13"/>
      <c r="J45" s="14"/>
      <c r="K45" s="234">
        <f t="shared" ref="K45:S45" si="3">SUM(K5:K44)</f>
        <v>0</v>
      </c>
      <c r="L45" s="235">
        <f t="shared" si="3"/>
        <v>0</v>
      </c>
      <c r="M45" s="372">
        <f t="shared" si="3"/>
        <v>0</v>
      </c>
      <c r="N45" s="373">
        <f t="shared" si="3"/>
        <v>0</v>
      </c>
      <c r="O45" s="77">
        <f t="shared" si="3"/>
        <v>383</v>
      </c>
      <c r="P45" s="78">
        <f t="shared" si="3"/>
        <v>2298</v>
      </c>
      <c r="Q45" s="323">
        <f t="shared" si="3"/>
        <v>0</v>
      </c>
      <c r="R45" s="78">
        <f t="shared" si="3"/>
        <v>2298</v>
      </c>
      <c r="S45" s="102">
        <f t="shared" si="3"/>
        <v>0</v>
      </c>
      <c r="T45" s="5"/>
    </row>
    <row r="46" spans="1:32">
      <c r="J46" s="200">
        <f ca="1">TODAY()</f>
        <v>43825</v>
      </c>
      <c r="K46" s="41"/>
      <c r="M46" s="42"/>
      <c r="N46" s="41"/>
      <c r="O46" s="45" t="s">
        <v>81</v>
      </c>
      <c r="Q46" s="42"/>
      <c r="R46" s="45">
        <f>+R8+R10+R11+R13+R16+R40+R38+R27</f>
        <v>108</v>
      </c>
      <c r="T46" s="5"/>
      <c r="AC46">
        <v>4</v>
      </c>
    </row>
    <row r="47" spans="1:32" ht="15" customHeight="1">
      <c r="L47" s="43"/>
      <c r="M47" s="44"/>
      <c r="N47" s="125"/>
      <c r="O47" s="43" t="s">
        <v>91</v>
      </c>
      <c r="P47" s="114">
        <v>2622</v>
      </c>
      <c r="Q47" s="110" t="s">
        <v>58</v>
      </c>
      <c r="R47" s="111">
        <f>+R45-R46</f>
        <v>2190</v>
      </c>
      <c r="S47" s="109"/>
      <c r="T47" s="5"/>
      <c r="Z47">
        <v>186.44069999999999</v>
      </c>
      <c r="AA47">
        <f>+Z47*0.18</f>
        <v>33.559325999999999</v>
      </c>
      <c r="AB47">
        <f>+Z47+AA47</f>
        <v>220.00002599999999</v>
      </c>
      <c r="AC47">
        <f>+AB47*AC46</f>
        <v>880.00010399999996</v>
      </c>
    </row>
    <row r="48" spans="1:32">
      <c r="P48" s="19"/>
      <c r="T48" s="5"/>
      <c r="Y48" s="4"/>
      <c r="Z48" s="4">
        <v>206.44069999999999</v>
      </c>
      <c r="AA48">
        <f>+Z48*0.18</f>
        <v>37.159326</v>
      </c>
      <c r="AB48">
        <f>+Z48+AA48</f>
        <v>243.60002599999999</v>
      </c>
      <c r="AC48" s="4">
        <f>+AB48*AC46</f>
        <v>974.40010399999994</v>
      </c>
      <c r="AD48" s="4"/>
      <c r="AE48" s="4"/>
    </row>
    <row r="49" spans="9:29">
      <c r="I49" s="324" t="s">
        <v>452</v>
      </c>
      <c r="P49" s="19"/>
      <c r="T49" s="5"/>
      <c r="Z49">
        <f>+Z48-Z47</f>
        <v>20</v>
      </c>
      <c r="AA49">
        <f>+AA48-AA47</f>
        <v>3.6000000000000014</v>
      </c>
      <c r="AB49">
        <f>+AB48-AB47</f>
        <v>23.599999999999994</v>
      </c>
      <c r="AC49">
        <f>+AB49*AC46</f>
        <v>94.399999999999977</v>
      </c>
    </row>
    <row r="50" spans="9:29">
      <c r="I50" s="325" t="s">
        <v>453</v>
      </c>
      <c r="P50" s="19"/>
      <c r="T50" s="5"/>
    </row>
    <row r="51" spans="9:29">
      <c r="I51" s="324" t="s">
        <v>454</v>
      </c>
      <c r="P51" s="19"/>
      <c r="T51" s="5"/>
    </row>
    <row r="52" spans="9:29">
      <c r="I52" s="324" t="s">
        <v>455</v>
      </c>
      <c r="P52" s="19"/>
      <c r="T52" s="5"/>
      <c r="V52" s="59"/>
      <c r="W52" s="60"/>
      <c r="X52" s="61"/>
    </row>
    <row r="53" spans="9:29">
      <c r="I53" s="324" t="s">
        <v>455</v>
      </c>
      <c r="P53" s="19"/>
      <c r="U53" s="58"/>
      <c r="V53" s="59"/>
      <c r="W53" s="60"/>
      <c r="X53" s="61"/>
    </row>
    <row r="54" spans="9:29">
      <c r="I54" s="324" t="s">
        <v>455</v>
      </c>
      <c r="P54" s="19"/>
      <c r="U54" s="58"/>
      <c r="V54" s="59"/>
      <c r="W54" s="60"/>
      <c r="X54" s="61"/>
    </row>
    <row r="55" spans="9:29">
      <c r="I55" s="324" t="s">
        <v>455</v>
      </c>
      <c r="U55" s="58"/>
      <c r="V55" s="59"/>
      <c r="W55" s="60"/>
      <c r="X55" s="69"/>
    </row>
    <row r="56" spans="9:29">
      <c r="I56" s="324" t="s">
        <v>455</v>
      </c>
      <c r="U56" s="58"/>
      <c r="V56" s="59"/>
      <c r="W56" s="60"/>
      <c r="X56" s="60"/>
    </row>
    <row r="57" spans="9:29">
      <c r="U57" s="58"/>
      <c r="V57" s="59"/>
      <c r="W57" s="60"/>
      <c r="X57" s="60"/>
    </row>
    <row r="58" spans="9:29">
      <c r="U58" s="58"/>
      <c r="V58" s="59"/>
      <c r="W58" s="62"/>
      <c r="X58" s="60"/>
    </row>
    <row r="59" spans="9:29">
      <c r="U59" s="58"/>
      <c r="V59" s="59"/>
      <c r="W59" s="62"/>
      <c r="X59" s="60"/>
    </row>
    <row r="60" spans="9:29">
      <c r="U60" s="64"/>
      <c r="V60" s="59"/>
      <c r="W60" s="60"/>
      <c r="X60" s="60"/>
    </row>
    <row r="61" spans="9:29">
      <c r="U61" s="58"/>
      <c r="V61" s="66"/>
      <c r="W61" s="67"/>
      <c r="X61" s="60"/>
    </row>
    <row r="62" spans="9:29">
      <c r="U62" s="60"/>
      <c r="V62" s="59"/>
      <c r="W62" s="60"/>
    </row>
    <row r="63" spans="9:29">
      <c r="U63" s="60"/>
      <c r="V63" s="59"/>
      <c r="W63" s="60"/>
    </row>
    <row r="64" spans="9:29">
      <c r="U64" s="60"/>
      <c r="V64" s="59"/>
      <c r="W64" s="60"/>
    </row>
    <row r="65" spans="21:23">
      <c r="U65" s="60"/>
      <c r="V65" s="59"/>
      <c r="W65" s="60"/>
    </row>
    <row r="66" spans="21:23">
      <c r="U66" s="60"/>
      <c r="V66" s="59"/>
      <c r="W66" s="60"/>
    </row>
    <row r="67" spans="21:23">
      <c r="U67" s="60"/>
      <c r="V67" s="59"/>
      <c r="W67" s="60"/>
    </row>
  </sheetData>
  <mergeCells count="6">
    <mergeCell ref="AC15:AC16"/>
    <mergeCell ref="I2:R2"/>
    <mergeCell ref="K3:N3"/>
    <mergeCell ref="O3:P3"/>
    <mergeCell ref="T3:V3"/>
    <mergeCell ref="Z3:AB3"/>
  </mergeCells>
  <conditionalFormatting sqref="R5">
    <cfRule type="cellIs" dxfId="106" priority="2" operator="lessThanOrEqual">
      <formula>0</formula>
    </cfRule>
  </conditionalFormatting>
  <conditionalFormatting sqref="R5:R44">
    <cfRule type="cellIs" dxfId="105" priority="1" operator="greaterThan">
      <formula>0</formula>
    </cfRule>
  </conditionalFormatting>
  <printOptions horizontalCentered="1"/>
  <pageMargins left="0" right="0" top="0.86614173228346458" bottom="0" header="0" footer="0"/>
  <pageSetup paperSize="9" scale="8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51</vt:i4>
      </vt:variant>
    </vt:vector>
  </HeadingPairs>
  <TitlesOfParts>
    <vt:vector size="102" baseType="lpstr">
      <vt:lpstr>Anex Sm(51)</vt:lpstr>
      <vt:lpstr>Anex Sm(50)</vt:lpstr>
      <vt:lpstr>Anex Sm(49)</vt:lpstr>
      <vt:lpstr>Anex Sm(48)</vt:lpstr>
      <vt:lpstr>Anex Sm(47)</vt:lpstr>
      <vt:lpstr>Anex Sm(46)</vt:lpstr>
      <vt:lpstr>Anex Sm(45)</vt:lpstr>
      <vt:lpstr>Anex Sm(44)</vt:lpstr>
      <vt:lpstr>Anex Sm(43)</vt:lpstr>
      <vt:lpstr>Anex Sm(42)</vt:lpstr>
      <vt:lpstr>Anex Sm(41)</vt:lpstr>
      <vt:lpstr>Anex Sm(40)</vt:lpstr>
      <vt:lpstr>Anex Sm(39)</vt:lpstr>
      <vt:lpstr>Anex Sm(38)</vt:lpstr>
      <vt:lpstr>Anex Sm(37)</vt:lpstr>
      <vt:lpstr>Anex Sm(36)</vt:lpstr>
      <vt:lpstr>Anex Sm(35)</vt:lpstr>
      <vt:lpstr>Anex Sm(34)</vt:lpstr>
      <vt:lpstr>Anex Sm(33)</vt:lpstr>
      <vt:lpstr>Anex Sm(32)</vt:lpstr>
      <vt:lpstr>Anex Sm(31)</vt:lpstr>
      <vt:lpstr>Anex Sm(30)</vt:lpstr>
      <vt:lpstr>Anex Sm(29)</vt:lpstr>
      <vt:lpstr>Anex Sm(28)</vt:lpstr>
      <vt:lpstr>Anex Sm(27)</vt:lpstr>
      <vt:lpstr>Anex Sm(26)</vt:lpstr>
      <vt:lpstr>Anex Sm(25)</vt:lpstr>
      <vt:lpstr>Anex Sm(24)</vt:lpstr>
      <vt:lpstr>Anex Sm(23)</vt:lpstr>
      <vt:lpstr>Anex Sm(22)</vt:lpstr>
      <vt:lpstr>Anex Sm(21)</vt:lpstr>
      <vt:lpstr>Anex Sm(20)</vt:lpstr>
      <vt:lpstr>Anex Sm(19)</vt:lpstr>
      <vt:lpstr>Anex Sm(18)</vt:lpstr>
      <vt:lpstr>Anex Sm(17)</vt:lpstr>
      <vt:lpstr>Anex Sm(16)</vt:lpstr>
      <vt:lpstr>Anex Sm(15)</vt:lpstr>
      <vt:lpstr>Anex Sm(14)</vt:lpstr>
      <vt:lpstr>Anex Sm(13)</vt:lpstr>
      <vt:lpstr>Anex Sm(12)</vt:lpstr>
      <vt:lpstr>Anex Sm(11)</vt:lpstr>
      <vt:lpstr>Anex Sm(10)</vt:lpstr>
      <vt:lpstr>Anex Sm(9)</vt:lpstr>
      <vt:lpstr>Anex Sm(8)</vt:lpstr>
      <vt:lpstr>Anex Sm(7)</vt:lpstr>
      <vt:lpstr>Anex Sm(6)</vt:lpstr>
      <vt:lpstr>Anex Sm(5)</vt:lpstr>
      <vt:lpstr>Anex Sm(4)</vt:lpstr>
      <vt:lpstr>Anex Sm(3)</vt:lpstr>
      <vt:lpstr>Anex Sm(2)</vt:lpstr>
      <vt:lpstr>Anex Sm(1)</vt:lpstr>
      <vt:lpstr>'Anex Sm(1)'!Área_de_impresión</vt:lpstr>
      <vt:lpstr>'Anex Sm(10)'!Área_de_impresión</vt:lpstr>
      <vt:lpstr>'Anex Sm(11)'!Área_de_impresión</vt:lpstr>
      <vt:lpstr>'Anex Sm(12)'!Área_de_impresión</vt:lpstr>
      <vt:lpstr>'Anex Sm(13)'!Área_de_impresión</vt:lpstr>
      <vt:lpstr>'Anex Sm(14)'!Área_de_impresión</vt:lpstr>
      <vt:lpstr>'Anex Sm(15)'!Área_de_impresión</vt:lpstr>
      <vt:lpstr>'Anex Sm(16)'!Área_de_impresión</vt:lpstr>
      <vt:lpstr>'Anex Sm(17)'!Área_de_impresión</vt:lpstr>
      <vt:lpstr>'Anex Sm(18)'!Área_de_impresión</vt:lpstr>
      <vt:lpstr>'Anex Sm(19)'!Área_de_impresión</vt:lpstr>
      <vt:lpstr>'Anex Sm(2)'!Área_de_impresión</vt:lpstr>
      <vt:lpstr>'Anex Sm(20)'!Área_de_impresión</vt:lpstr>
      <vt:lpstr>'Anex Sm(21)'!Área_de_impresión</vt:lpstr>
      <vt:lpstr>'Anex Sm(22)'!Área_de_impresión</vt:lpstr>
      <vt:lpstr>'Anex Sm(23)'!Área_de_impresión</vt:lpstr>
      <vt:lpstr>'Anex Sm(24)'!Área_de_impresión</vt:lpstr>
      <vt:lpstr>'Anex Sm(25)'!Área_de_impresión</vt:lpstr>
      <vt:lpstr>'Anex Sm(26)'!Área_de_impresión</vt:lpstr>
      <vt:lpstr>'Anex Sm(27)'!Área_de_impresión</vt:lpstr>
      <vt:lpstr>'Anex Sm(28)'!Área_de_impresión</vt:lpstr>
      <vt:lpstr>'Anex Sm(29)'!Área_de_impresión</vt:lpstr>
      <vt:lpstr>'Anex Sm(3)'!Área_de_impresión</vt:lpstr>
      <vt:lpstr>'Anex Sm(30)'!Área_de_impresión</vt:lpstr>
      <vt:lpstr>'Anex Sm(31)'!Área_de_impresión</vt:lpstr>
      <vt:lpstr>'Anex Sm(32)'!Área_de_impresión</vt:lpstr>
      <vt:lpstr>'Anex Sm(33)'!Área_de_impresión</vt:lpstr>
      <vt:lpstr>'Anex Sm(34)'!Área_de_impresión</vt:lpstr>
      <vt:lpstr>'Anex Sm(35)'!Área_de_impresión</vt:lpstr>
      <vt:lpstr>'Anex Sm(36)'!Área_de_impresión</vt:lpstr>
      <vt:lpstr>'Anex Sm(37)'!Área_de_impresión</vt:lpstr>
      <vt:lpstr>'Anex Sm(38)'!Área_de_impresión</vt:lpstr>
      <vt:lpstr>'Anex Sm(39)'!Área_de_impresión</vt:lpstr>
      <vt:lpstr>'Anex Sm(4)'!Área_de_impresión</vt:lpstr>
      <vt:lpstr>'Anex Sm(40)'!Área_de_impresión</vt:lpstr>
      <vt:lpstr>'Anex Sm(41)'!Área_de_impresión</vt:lpstr>
      <vt:lpstr>'Anex Sm(42)'!Área_de_impresión</vt:lpstr>
      <vt:lpstr>'Anex Sm(43)'!Área_de_impresión</vt:lpstr>
      <vt:lpstr>'Anex Sm(44)'!Área_de_impresión</vt:lpstr>
      <vt:lpstr>'Anex Sm(45)'!Área_de_impresión</vt:lpstr>
      <vt:lpstr>'Anex Sm(46)'!Área_de_impresión</vt:lpstr>
      <vt:lpstr>'Anex Sm(47)'!Área_de_impresión</vt:lpstr>
      <vt:lpstr>'Anex Sm(48)'!Área_de_impresión</vt:lpstr>
      <vt:lpstr>'Anex Sm(49)'!Área_de_impresión</vt:lpstr>
      <vt:lpstr>'Anex Sm(5)'!Área_de_impresión</vt:lpstr>
      <vt:lpstr>'Anex Sm(50)'!Área_de_impresión</vt:lpstr>
      <vt:lpstr>'Anex Sm(51)'!Área_de_impresión</vt:lpstr>
      <vt:lpstr>'Anex Sm(6)'!Área_de_impresión</vt:lpstr>
      <vt:lpstr>'Anex Sm(7)'!Área_de_impresión</vt:lpstr>
      <vt:lpstr>'Anex Sm(8)'!Área_de_impresión</vt:lpstr>
      <vt:lpstr>'Anex Sm(9)'!Área_de_impresión</vt:lpstr>
    </vt:vector>
  </TitlesOfParts>
  <Company>Transcosta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CesarQ</dc:creator>
  <cp:lastModifiedBy>CesarQ</cp:lastModifiedBy>
  <cp:lastPrinted>2019-12-26T13:31:58Z</cp:lastPrinted>
  <dcterms:created xsi:type="dcterms:W3CDTF">2018-04-10T16:09:01Z</dcterms:created>
  <dcterms:modified xsi:type="dcterms:W3CDTF">2019-12-26T18:00:37Z</dcterms:modified>
</cp:coreProperties>
</file>