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21135" windowHeight="11955"/>
  </bookViews>
  <sheets>
    <sheet name="Hoja27" sheetId="17" r:id="rId1"/>
    <sheet name="Hoja26" sheetId="16" r:id="rId2"/>
    <sheet name="Hoja25" sheetId="15" r:id="rId3"/>
    <sheet name="Hoja24" sheetId="14" r:id="rId4"/>
    <sheet name="Hoja23" sheetId="12" r:id="rId5"/>
    <sheet name="Hoja22" sheetId="13" r:id="rId6"/>
    <sheet name="Hoja21" sheetId="11" r:id="rId7"/>
    <sheet name="Hoja20" sheetId="10" r:id="rId8"/>
    <sheet name="Hoja19" sheetId="9" r:id="rId9"/>
    <sheet name="Hoja18" sheetId="8" r:id="rId10"/>
    <sheet name="Hoja17" sheetId="7" r:id="rId11"/>
    <sheet name="Hoja16" sheetId="6" r:id="rId12"/>
    <sheet name="Hoja15" sheetId="5" r:id="rId13"/>
    <sheet name="Hoja14" sheetId="4" r:id="rId14"/>
    <sheet name="Hoja13" sheetId="1" r:id="rId15"/>
    <sheet name="Hoja12" sheetId="2" r:id="rId16"/>
    <sheet name="Hoja11" sheetId="3" r:id="rId17"/>
  </sheets>
  <definedNames>
    <definedName name="_xlnm.Print_Area" localSheetId="9">Hoja18!$Y$5:$AI$75</definedName>
    <definedName name="_xlnm.Print_Area" localSheetId="8">Hoja19!$Y$5:$AI$75</definedName>
    <definedName name="_xlnm.Print_Area" localSheetId="7">Hoja20!$H$2:$R$45</definedName>
    <definedName name="_xlnm.Print_Area" localSheetId="6">Hoja21!$H$2:$R$44</definedName>
    <definedName name="_xlnm.Print_Area" localSheetId="5">Hoja22!$H$2:$R$43</definedName>
    <definedName name="_xlnm.Print_Area" localSheetId="4">Hoja23!$H$2:$R$43</definedName>
    <definedName name="_xlnm.Print_Area" localSheetId="3">Hoja24!$H$2:$R$43</definedName>
    <definedName name="_xlnm.Print_Area" localSheetId="2">Hoja25!$H$2:$R$42</definedName>
    <definedName name="_xlnm.Print_Area" localSheetId="1">Hoja26!$H$2:$R$42</definedName>
    <definedName name="_xlnm.Print_Area" localSheetId="0">Hoja27!$H$2:$R$42</definedName>
  </definedNames>
  <calcPr calcId="124519"/>
</workbook>
</file>

<file path=xl/calcChain.xml><?xml version="1.0" encoding="utf-8"?>
<calcChain xmlns="http://schemas.openxmlformats.org/spreadsheetml/2006/main">
  <c r="R41" i="17"/>
  <c r="P38"/>
  <c r="N38"/>
  <c r="L14"/>
  <c r="L13"/>
  <c r="AI75"/>
  <c r="AH75"/>
  <c r="AG75"/>
  <c r="AE75"/>
  <c r="AD75"/>
  <c r="AC75"/>
  <c r="AB75"/>
  <c r="AE51"/>
  <c r="AD51"/>
  <c r="AC51"/>
  <c r="AB51"/>
  <c r="Q40"/>
  <c r="O40"/>
  <c r="M40"/>
  <c r="M42" s="1"/>
  <c r="K40"/>
  <c r="P39"/>
  <c r="N39"/>
  <c r="P37"/>
  <c r="R37" s="1"/>
  <c r="P36"/>
  <c r="R36" s="1"/>
  <c r="P35"/>
  <c r="R35" s="1"/>
  <c r="P34"/>
  <c r="N34"/>
  <c r="P33"/>
  <c r="N33"/>
  <c r="P32"/>
  <c r="R32" s="1"/>
  <c r="P31"/>
  <c r="N31"/>
  <c r="P30"/>
  <c r="R30" s="1"/>
  <c r="P29"/>
  <c r="N29"/>
  <c r="L29"/>
  <c r="P28"/>
  <c r="N28"/>
  <c r="L28"/>
  <c r="P27"/>
  <c r="L27"/>
  <c r="AE27"/>
  <c r="AD27"/>
  <c r="AC27"/>
  <c r="AB27"/>
  <c r="P26"/>
  <c r="R26" s="1"/>
  <c r="N26"/>
  <c r="AF26"/>
  <c r="P25"/>
  <c r="R25" s="1"/>
  <c r="AF25"/>
  <c r="P24"/>
  <c r="N24"/>
  <c r="R24" s="1"/>
  <c r="AF24"/>
  <c r="P23"/>
  <c r="R23" s="1"/>
  <c r="N23"/>
  <c r="AF23"/>
  <c r="P22"/>
  <c r="N22"/>
  <c r="AF22"/>
  <c r="AF21"/>
  <c r="P21"/>
  <c r="N21"/>
  <c r="AF20"/>
  <c r="P20"/>
  <c r="R20" s="1"/>
  <c r="AF19"/>
  <c r="P19"/>
  <c r="R19" s="1"/>
  <c r="N19"/>
  <c r="AF18"/>
  <c r="P18"/>
  <c r="N18"/>
  <c r="AF17"/>
  <c r="P17"/>
  <c r="N17"/>
  <c r="AF16"/>
  <c r="U16"/>
  <c r="T16"/>
  <c r="P16"/>
  <c r="N16"/>
  <c r="L16"/>
  <c r="AF15"/>
  <c r="T15"/>
  <c r="P15"/>
  <c r="N15"/>
  <c r="AF14"/>
  <c r="P14"/>
  <c r="N14"/>
  <c r="R14" s="1"/>
  <c r="AF13"/>
  <c r="P13"/>
  <c r="AF12"/>
  <c r="P12"/>
  <c r="N12"/>
  <c r="AF11"/>
  <c r="U11"/>
  <c r="T11" s="1"/>
  <c r="T12" s="1"/>
  <c r="U13" s="1"/>
  <c r="W13" s="1"/>
  <c r="P11"/>
  <c r="R11" s="1"/>
  <c r="P10"/>
  <c r="R10" s="1"/>
  <c r="P9"/>
  <c r="N9"/>
  <c r="L9"/>
  <c r="N8"/>
  <c r="L8"/>
  <c r="P7"/>
  <c r="N7"/>
  <c r="U6"/>
  <c r="T6" s="1"/>
  <c r="T7" s="1"/>
  <c r="U8" s="1"/>
  <c r="W8" s="1"/>
  <c r="P6"/>
  <c r="L6"/>
  <c r="L5"/>
  <c r="S3"/>
  <c r="U18" i="16"/>
  <c r="T15"/>
  <c r="AI75"/>
  <c r="AH75"/>
  <c r="AG75"/>
  <c r="AE75"/>
  <c r="AD75"/>
  <c r="AC75"/>
  <c r="AB75"/>
  <c r="AE51"/>
  <c r="AD51"/>
  <c r="AC51"/>
  <c r="AB51"/>
  <c r="Q40"/>
  <c r="O40"/>
  <c r="M40"/>
  <c r="M42" s="1"/>
  <c r="K40"/>
  <c r="P39"/>
  <c r="N39"/>
  <c r="P38"/>
  <c r="R38" s="1"/>
  <c r="P37"/>
  <c r="R37" s="1"/>
  <c r="P36"/>
  <c r="R36" s="1"/>
  <c r="P35"/>
  <c r="N35"/>
  <c r="P34"/>
  <c r="N34"/>
  <c r="P33"/>
  <c r="R33" s="1"/>
  <c r="P32"/>
  <c r="N32"/>
  <c r="R32" s="1"/>
  <c r="P31"/>
  <c r="R31" s="1"/>
  <c r="P30"/>
  <c r="N30"/>
  <c r="L30"/>
  <c r="R30" s="1"/>
  <c r="P29"/>
  <c r="N29"/>
  <c r="L29"/>
  <c r="R29" s="1"/>
  <c r="P28"/>
  <c r="L28"/>
  <c r="AE27"/>
  <c r="AD27"/>
  <c r="AC27"/>
  <c r="AB27"/>
  <c r="P27"/>
  <c r="R27" s="1"/>
  <c r="N27"/>
  <c r="AF26"/>
  <c r="P26"/>
  <c r="R26" s="1"/>
  <c r="AF25"/>
  <c r="P25"/>
  <c r="N25"/>
  <c r="AF24"/>
  <c r="P24"/>
  <c r="N24"/>
  <c r="AF23"/>
  <c r="P23"/>
  <c r="N23"/>
  <c r="AF22"/>
  <c r="P22"/>
  <c r="N22"/>
  <c r="AF21"/>
  <c r="P21"/>
  <c r="N21"/>
  <c r="AF20"/>
  <c r="P20"/>
  <c r="R20" s="1"/>
  <c r="AF19"/>
  <c r="P19"/>
  <c r="N19"/>
  <c r="AF18"/>
  <c r="P18"/>
  <c r="N18"/>
  <c r="AF17"/>
  <c r="P17"/>
  <c r="N17"/>
  <c r="AF16"/>
  <c r="U16"/>
  <c r="T16" s="1"/>
  <c r="T17" s="1"/>
  <c r="W18" s="1"/>
  <c r="P16"/>
  <c r="N16"/>
  <c r="L16"/>
  <c r="R16" s="1"/>
  <c r="AF15"/>
  <c r="P15"/>
  <c r="N15"/>
  <c r="AF14"/>
  <c r="P14"/>
  <c r="N14"/>
  <c r="L14"/>
  <c r="AF13"/>
  <c r="P13"/>
  <c r="R13" s="1"/>
  <c r="AF12"/>
  <c r="P12"/>
  <c r="N12"/>
  <c r="AF11"/>
  <c r="U11"/>
  <c r="T11" s="1"/>
  <c r="T12" s="1"/>
  <c r="U13" s="1"/>
  <c r="W13" s="1"/>
  <c r="P11"/>
  <c r="R11" s="1"/>
  <c r="P10"/>
  <c r="R10" s="1"/>
  <c r="P9"/>
  <c r="N9"/>
  <c r="L9"/>
  <c r="R9" s="1"/>
  <c r="N8"/>
  <c r="L8"/>
  <c r="P7"/>
  <c r="N7"/>
  <c r="N40" s="1"/>
  <c r="U6"/>
  <c r="T6" s="1"/>
  <c r="T7" s="1"/>
  <c r="U8" s="1"/>
  <c r="W8" s="1"/>
  <c r="P6"/>
  <c r="L6"/>
  <c r="R5"/>
  <c r="L5"/>
  <c r="L40" s="1"/>
  <c r="S3"/>
  <c r="R29" i="17" l="1"/>
  <c r="R31"/>
  <c r="R6"/>
  <c r="R38"/>
  <c r="L40"/>
  <c r="N40"/>
  <c r="R13"/>
  <c r="T17"/>
  <c r="U18" s="1"/>
  <c r="W18" s="1"/>
  <c r="R16"/>
  <c r="R18"/>
  <c r="R21"/>
  <c r="R28"/>
  <c r="R33"/>
  <c r="R34"/>
  <c r="R22"/>
  <c r="R9"/>
  <c r="P40"/>
  <c r="P41" s="1"/>
  <c r="R39"/>
  <c r="R12"/>
  <c r="R15"/>
  <c r="R17"/>
  <c r="R27"/>
  <c r="R5"/>
  <c r="R7"/>
  <c r="R21" i="16"/>
  <c r="R34"/>
  <c r="R35"/>
  <c r="R23"/>
  <c r="P40"/>
  <c r="P41" s="1"/>
  <c r="R15"/>
  <c r="R41" s="1"/>
  <c r="R18"/>
  <c r="R24"/>
  <c r="R39"/>
  <c r="R6"/>
  <c r="R12"/>
  <c r="R14"/>
  <c r="R17"/>
  <c r="R19"/>
  <c r="R22"/>
  <c r="R25"/>
  <c r="R28"/>
  <c r="R7"/>
  <c r="R40" i="17" l="1"/>
  <c r="R42" s="1"/>
  <c r="R40" i="16"/>
  <c r="R42" s="1"/>
  <c r="AI75" i="15" l="1"/>
  <c r="AH75"/>
  <c r="AG75"/>
  <c r="AE75"/>
  <c r="AD75"/>
  <c r="AC75"/>
  <c r="AB75"/>
  <c r="AE51"/>
  <c r="AD51"/>
  <c r="AC51"/>
  <c r="AB51"/>
  <c r="Q40"/>
  <c r="O40"/>
  <c r="M40"/>
  <c r="M42" s="1"/>
  <c r="K40"/>
  <c r="P39"/>
  <c r="N39"/>
  <c r="P38"/>
  <c r="R38" s="1"/>
  <c r="P37"/>
  <c r="R37" s="1"/>
  <c r="P36"/>
  <c r="R36" s="1"/>
  <c r="P35"/>
  <c r="N35"/>
  <c r="P34"/>
  <c r="N34"/>
  <c r="P33"/>
  <c r="R33" s="1"/>
  <c r="P32"/>
  <c r="N32"/>
  <c r="P31"/>
  <c r="R31" s="1"/>
  <c r="P30"/>
  <c r="N30"/>
  <c r="L30"/>
  <c r="P29"/>
  <c r="N29"/>
  <c r="L29"/>
  <c r="R29" s="1"/>
  <c r="P28"/>
  <c r="L28"/>
  <c r="P27"/>
  <c r="R27" s="1"/>
  <c r="N27"/>
  <c r="AE27"/>
  <c r="AD27"/>
  <c r="AC27"/>
  <c r="AB27"/>
  <c r="P26"/>
  <c r="R26" s="1"/>
  <c r="AF26"/>
  <c r="P25"/>
  <c r="N25"/>
  <c r="AF25"/>
  <c r="P24"/>
  <c r="R24" s="1"/>
  <c r="N24"/>
  <c r="AF24"/>
  <c r="V24"/>
  <c r="V26" s="1"/>
  <c r="P23"/>
  <c r="N23"/>
  <c r="R23" s="1"/>
  <c r="AF23"/>
  <c r="P22"/>
  <c r="N22"/>
  <c r="AF22"/>
  <c r="P21"/>
  <c r="N21"/>
  <c r="R21" s="1"/>
  <c r="AF21"/>
  <c r="R20"/>
  <c r="P20"/>
  <c r="AF20"/>
  <c r="P19"/>
  <c r="N19"/>
  <c r="AF19"/>
  <c r="P18"/>
  <c r="N18"/>
  <c r="AF18"/>
  <c r="P17"/>
  <c r="N17"/>
  <c r="R17" s="1"/>
  <c r="AF17"/>
  <c r="P16"/>
  <c r="N16"/>
  <c r="L16"/>
  <c r="R16" s="1"/>
  <c r="AF16"/>
  <c r="U16"/>
  <c r="T16" s="1"/>
  <c r="T17" s="1"/>
  <c r="U18" s="1"/>
  <c r="W18" s="1"/>
  <c r="P15"/>
  <c r="N15"/>
  <c r="R15" s="1"/>
  <c r="AF15"/>
  <c r="P14"/>
  <c r="N14"/>
  <c r="L14"/>
  <c r="R14" s="1"/>
  <c r="AF14"/>
  <c r="P13"/>
  <c r="R13" s="1"/>
  <c r="AF13"/>
  <c r="P12"/>
  <c r="N12"/>
  <c r="AF12"/>
  <c r="P11"/>
  <c r="R11" s="1"/>
  <c r="AF11"/>
  <c r="U11"/>
  <c r="T11"/>
  <c r="T12" s="1"/>
  <c r="U13" s="1"/>
  <c r="W13" s="1"/>
  <c r="P10"/>
  <c r="R10" s="1"/>
  <c r="P9"/>
  <c r="N9"/>
  <c r="L9"/>
  <c r="R9" s="1"/>
  <c r="N8"/>
  <c r="L8"/>
  <c r="P7"/>
  <c r="N7"/>
  <c r="N40" s="1"/>
  <c r="P6"/>
  <c r="L6"/>
  <c r="U6"/>
  <c r="T6" s="1"/>
  <c r="T7" s="1"/>
  <c r="U8" s="1"/>
  <c r="W8" s="1"/>
  <c r="R5"/>
  <c r="L5"/>
  <c r="S3"/>
  <c r="R38" i="14"/>
  <c r="R21"/>
  <c r="AI75"/>
  <c r="AH75"/>
  <c r="AG75"/>
  <c r="AE75"/>
  <c r="AD75"/>
  <c r="AC75"/>
  <c r="AB75"/>
  <c r="AE51"/>
  <c r="AD51"/>
  <c r="AC51"/>
  <c r="AB51"/>
  <c r="Q41"/>
  <c r="O41"/>
  <c r="M41"/>
  <c r="M43" s="1"/>
  <c r="K41"/>
  <c r="P40"/>
  <c r="N40"/>
  <c r="P39"/>
  <c r="R39" s="1"/>
  <c r="P38"/>
  <c r="P37"/>
  <c r="R37" s="1"/>
  <c r="P36"/>
  <c r="N36"/>
  <c r="P35"/>
  <c r="N35"/>
  <c r="P34"/>
  <c r="R34" s="1"/>
  <c r="P33"/>
  <c r="N33"/>
  <c r="R33" s="1"/>
  <c r="P32"/>
  <c r="R32" s="1"/>
  <c r="P31"/>
  <c r="N31"/>
  <c r="L31"/>
  <c r="R31" s="1"/>
  <c r="P30"/>
  <c r="N30"/>
  <c r="L30"/>
  <c r="R30" s="1"/>
  <c r="P29"/>
  <c r="L29"/>
  <c r="P28"/>
  <c r="R28" s="1"/>
  <c r="N28"/>
  <c r="AE27"/>
  <c r="AD27"/>
  <c r="AC27"/>
  <c r="AB27"/>
  <c r="P27"/>
  <c r="R27" s="1"/>
  <c r="AF26"/>
  <c r="P26"/>
  <c r="N26"/>
  <c r="AF25"/>
  <c r="P25"/>
  <c r="R25" s="1"/>
  <c r="N25"/>
  <c r="AF24"/>
  <c r="V24"/>
  <c r="V26" s="1"/>
  <c r="P24"/>
  <c r="N24"/>
  <c r="AF23"/>
  <c r="P23"/>
  <c r="N23"/>
  <c r="AF22"/>
  <c r="P22"/>
  <c r="N22"/>
  <c r="AF21"/>
  <c r="P21"/>
  <c r="AF20"/>
  <c r="P20"/>
  <c r="N20"/>
  <c r="AF19"/>
  <c r="P19"/>
  <c r="N19"/>
  <c r="AF18"/>
  <c r="P18"/>
  <c r="N18"/>
  <c r="AF17"/>
  <c r="P17"/>
  <c r="N17"/>
  <c r="L17"/>
  <c r="AF16"/>
  <c r="U16"/>
  <c r="T16"/>
  <c r="T17" s="1"/>
  <c r="U18" s="1"/>
  <c r="W18" s="1"/>
  <c r="P16"/>
  <c r="N16"/>
  <c r="AF15"/>
  <c r="P15"/>
  <c r="N15"/>
  <c r="L15"/>
  <c r="R15" s="1"/>
  <c r="AF14"/>
  <c r="R14"/>
  <c r="P14"/>
  <c r="AF13"/>
  <c r="P13"/>
  <c r="N13"/>
  <c r="R13" s="1"/>
  <c r="AF12"/>
  <c r="P12"/>
  <c r="R12" s="1"/>
  <c r="AF11"/>
  <c r="U11"/>
  <c r="T11"/>
  <c r="T12" s="1"/>
  <c r="U13" s="1"/>
  <c r="W13" s="1"/>
  <c r="P11"/>
  <c r="R11" s="1"/>
  <c r="P10"/>
  <c r="N10"/>
  <c r="L10"/>
  <c r="R10" s="1"/>
  <c r="N9"/>
  <c r="L9"/>
  <c r="P8"/>
  <c r="N8"/>
  <c r="N41" s="1"/>
  <c r="P7"/>
  <c r="L7"/>
  <c r="R7" s="1"/>
  <c r="U6"/>
  <c r="T6"/>
  <c r="T7" s="1"/>
  <c r="U8" s="1"/>
  <c r="W8" s="1"/>
  <c r="L6"/>
  <c r="R6" s="1"/>
  <c r="L5"/>
  <c r="L41" s="1"/>
  <c r="S3"/>
  <c r="R42" i="12"/>
  <c r="V26"/>
  <c r="V24"/>
  <c r="P42"/>
  <c r="AI75" i="13"/>
  <c r="AH75"/>
  <c r="AG75"/>
  <c r="AE75"/>
  <c r="AD75"/>
  <c r="AC75"/>
  <c r="AB75"/>
  <c r="AE51"/>
  <c r="AD51"/>
  <c r="AC51"/>
  <c r="AB51"/>
  <c r="Q45"/>
  <c r="Q41"/>
  <c r="O41"/>
  <c r="O42" s="1"/>
  <c r="M41"/>
  <c r="M43" s="1"/>
  <c r="K41"/>
  <c r="P40"/>
  <c r="N40"/>
  <c r="R39"/>
  <c r="P39"/>
  <c r="R38"/>
  <c r="P38"/>
  <c r="R37"/>
  <c r="P37"/>
  <c r="P36"/>
  <c r="N36"/>
  <c r="P35"/>
  <c r="N35"/>
  <c r="P34"/>
  <c r="R34" s="1"/>
  <c r="P33"/>
  <c r="N33"/>
  <c r="R33" s="1"/>
  <c r="P32"/>
  <c r="R32" s="1"/>
  <c r="P31"/>
  <c r="N31"/>
  <c r="L31"/>
  <c r="R31" s="1"/>
  <c r="P30"/>
  <c r="N30"/>
  <c r="L30"/>
  <c r="R30" s="1"/>
  <c r="P29"/>
  <c r="L29"/>
  <c r="R29" s="1"/>
  <c r="P28"/>
  <c r="R28" s="1"/>
  <c r="N28"/>
  <c r="AE27"/>
  <c r="AD27"/>
  <c r="AC27"/>
  <c r="AB27"/>
  <c r="P27"/>
  <c r="R27" s="1"/>
  <c r="AF26"/>
  <c r="P26"/>
  <c r="N26"/>
  <c r="AF25"/>
  <c r="P25"/>
  <c r="R25" s="1"/>
  <c r="N25"/>
  <c r="AF24"/>
  <c r="P24"/>
  <c r="N24"/>
  <c r="R24" s="1"/>
  <c r="AF23"/>
  <c r="P23"/>
  <c r="N23"/>
  <c r="AF22"/>
  <c r="P22"/>
  <c r="N22"/>
  <c r="R22" s="1"/>
  <c r="AF21"/>
  <c r="R21"/>
  <c r="P21"/>
  <c r="AF20"/>
  <c r="P20"/>
  <c r="N20"/>
  <c r="R20" s="1"/>
  <c r="AF19"/>
  <c r="P19"/>
  <c r="N19"/>
  <c r="AF18"/>
  <c r="P18"/>
  <c r="N18"/>
  <c r="R18" s="1"/>
  <c r="AF17"/>
  <c r="P17"/>
  <c r="N17"/>
  <c r="L17"/>
  <c r="AF16"/>
  <c r="U16"/>
  <c r="T16" s="1"/>
  <c r="T17" s="1"/>
  <c r="U18" s="1"/>
  <c r="W18" s="1"/>
  <c r="P16"/>
  <c r="N16"/>
  <c r="AF15"/>
  <c r="P15"/>
  <c r="N15"/>
  <c r="L15"/>
  <c r="AF14"/>
  <c r="P14"/>
  <c r="R14" s="1"/>
  <c r="AF13"/>
  <c r="P13"/>
  <c r="N13"/>
  <c r="AF12"/>
  <c r="P12"/>
  <c r="R12" s="1"/>
  <c r="AF11"/>
  <c r="U11"/>
  <c r="T11" s="1"/>
  <c r="T12" s="1"/>
  <c r="U13" s="1"/>
  <c r="W13" s="1"/>
  <c r="P11"/>
  <c r="R11" s="1"/>
  <c r="P10"/>
  <c r="N10"/>
  <c r="L10"/>
  <c r="N9"/>
  <c r="L9"/>
  <c r="P8"/>
  <c r="N8"/>
  <c r="R8" s="1"/>
  <c r="P7"/>
  <c r="P41" s="1"/>
  <c r="P42" s="1"/>
  <c r="L7"/>
  <c r="R7" s="1"/>
  <c r="U6"/>
  <c r="T6" s="1"/>
  <c r="T7" s="1"/>
  <c r="U8" s="1"/>
  <c r="W8" s="1"/>
  <c r="L6"/>
  <c r="R6" s="1"/>
  <c r="L5"/>
  <c r="S3"/>
  <c r="AI75" i="12"/>
  <c r="AH75"/>
  <c r="AG75"/>
  <c r="AE75"/>
  <c r="AD75"/>
  <c r="AC75"/>
  <c r="AB75"/>
  <c r="AE51"/>
  <c r="AD51"/>
  <c r="AC51"/>
  <c r="AB51"/>
  <c r="Q45"/>
  <c r="Q41"/>
  <c r="O41"/>
  <c r="M41"/>
  <c r="M43" s="1"/>
  <c r="K41"/>
  <c r="P40"/>
  <c r="N40"/>
  <c r="P39"/>
  <c r="R39" s="1"/>
  <c r="P38"/>
  <c r="R38" s="1"/>
  <c r="P37"/>
  <c r="R37" s="1"/>
  <c r="P36"/>
  <c r="N36"/>
  <c r="P35"/>
  <c r="N35"/>
  <c r="P34"/>
  <c r="R34" s="1"/>
  <c r="P33"/>
  <c r="N33"/>
  <c r="R33" s="1"/>
  <c r="P32"/>
  <c r="R32" s="1"/>
  <c r="P31"/>
  <c r="N31"/>
  <c r="L31"/>
  <c r="R31" s="1"/>
  <c r="P30"/>
  <c r="N30"/>
  <c r="L30"/>
  <c r="P29"/>
  <c r="L29"/>
  <c r="P28"/>
  <c r="R28" s="1"/>
  <c r="N28"/>
  <c r="P27"/>
  <c r="R27" s="1"/>
  <c r="AE27"/>
  <c r="AD27"/>
  <c r="AC27"/>
  <c r="AB27"/>
  <c r="P26"/>
  <c r="N26"/>
  <c r="R26" s="1"/>
  <c r="AF26"/>
  <c r="P25"/>
  <c r="R25" s="1"/>
  <c r="N25"/>
  <c r="AF25"/>
  <c r="P24"/>
  <c r="N24"/>
  <c r="AF24"/>
  <c r="AF23"/>
  <c r="P23"/>
  <c r="N23"/>
  <c r="R23" s="1"/>
  <c r="AF22"/>
  <c r="P22"/>
  <c r="N22"/>
  <c r="AF21"/>
  <c r="P21"/>
  <c r="R21" s="1"/>
  <c r="AF20"/>
  <c r="P20"/>
  <c r="N20"/>
  <c r="AF19"/>
  <c r="P19"/>
  <c r="N19"/>
  <c r="AF18"/>
  <c r="P18"/>
  <c r="N18"/>
  <c r="R18" s="1"/>
  <c r="AF17"/>
  <c r="P17"/>
  <c r="N17"/>
  <c r="L17"/>
  <c r="R17" s="1"/>
  <c r="AF16"/>
  <c r="U16"/>
  <c r="T16" s="1"/>
  <c r="T17" s="1"/>
  <c r="U18" s="1"/>
  <c r="W18" s="1"/>
  <c r="P16"/>
  <c r="N16"/>
  <c r="AF15"/>
  <c r="P15"/>
  <c r="N15"/>
  <c r="L15"/>
  <c r="R15" s="1"/>
  <c r="AF14"/>
  <c r="P14"/>
  <c r="R14" s="1"/>
  <c r="AF13"/>
  <c r="P13"/>
  <c r="N13"/>
  <c r="AF12"/>
  <c r="P12"/>
  <c r="R12" s="1"/>
  <c r="AF11"/>
  <c r="U11"/>
  <c r="T11" s="1"/>
  <c r="T12" s="1"/>
  <c r="U13" s="1"/>
  <c r="W13" s="1"/>
  <c r="P11"/>
  <c r="R11" s="1"/>
  <c r="P10"/>
  <c r="N10"/>
  <c r="L10"/>
  <c r="N9"/>
  <c r="L9"/>
  <c r="P8"/>
  <c r="N8"/>
  <c r="P7"/>
  <c r="L7"/>
  <c r="U6"/>
  <c r="T6" s="1"/>
  <c r="T7" s="1"/>
  <c r="U8" s="1"/>
  <c r="W8" s="1"/>
  <c r="L6"/>
  <c r="R6" s="1"/>
  <c r="L5"/>
  <c r="L41" s="1"/>
  <c r="S3"/>
  <c r="R43" i="11"/>
  <c r="R28" i="15" l="1"/>
  <c r="R19"/>
  <c r="R30"/>
  <c r="R39"/>
  <c r="L40"/>
  <c r="P40"/>
  <c r="P41" s="1"/>
  <c r="R6"/>
  <c r="R12"/>
  <c r="R18"/>
  <c r="R22"/>
  <c r="R25"/>
  <c r="R32"/>
  <c r="R34"/>
  <c r="R35"/>
  <c r="R41"/>
  <c r="R7"/>
  <c r="R18" i="14"/>
  <c r="R22"/>
  <c r="R29"/>
  <c r="R35"/>
  <c r="R36"/>
  <c r="R20"/>
  <c r="P41"/>
  <c r="P42" s="1"/>
  <c r="R24"/>
  <c r="R41"/>
  <c r="R16"/>
  <c r="R42" s="1"/>
  <c r="R17"/>
  <c r="R19"/>
  <c r="R23"/>
  <c r="R26"/>
  <c r="R40"/>
  <c r="R8"/>
  <c r="R5"/>
  <c r="R35" i="12"/>
  <c r="R9" i="13"/>
  <c r="R35"/>
  <c r="L41"/>
  <c r="R10"/>
  <c r="R13"/>
  <c r="R15"/>
  <c r="R17"/>
  <c r="R19"/>
  <c r="R23"/>
  <c r="R26"/>
  <c r="R36"/>
  <c r="R40"/>
  <c r="R16"/>
  <c r="R42"/>
  <c r="R5"/>
  <c r="N41"/>
  <c r="R41" s="1"/>
  <c r="R43" s="1"/>
  <c r="R46" s="1"/>
  <c r="R29" i="12"/>
  <c r="R16"/>
  <c r="R24"/>
  <c r="P41"/>
  <c r="R20"/>
  <c r="R7"/>
  <c r="R8"/>
  <c r="R19"/>
  <c r="R36"/>
  <c r="R22"/>
  <c r="R9"/>
  <c r="R10"/>
  <c r="R13"/>
  <c r="R40"/>
  <c r="R30"/>
  <c r="R5"/>
  <c r="N41"/>
  <c r="AI75" i="11"/>
  <c r="AH75"/>
  <c r="AG75"/>
  <c r="AE75"/>
  <c r="AD75"/>
  <c r="AC75"/>
  <c r="AB75"/>
  <c r="AE51"/>
  <c r="AD51"/>
  <c r="AC51"/>
  <c r="AB51"/>
  <c r="Q46"/>
  <c r="Q42"/>
  <c r="O42"/>
  <c r="O43" s="1"/>
  <c r="M42"/>
  <c r="M44" s="1"/>
  <c r="K42"/>
  <c r="P41"/>
  <c r="N41"/>
  <c r="P40"/>
  <c r="R40" s="1"/>
  <c r="P39"/>
  <c r="R39" s="1"/>
  <c r="P38"/>
  <c r="R38" s="1"/>
  <c r="P37"/>
  <c r="N37"/>
  <c r="R37" s="1"/>
  <c r="P36"/>
  <c r="N36"/>
  <c r="R36" s="1"/>
  <c r="P35"/>
  <c r="R35" s="1"/>
  <c r="P34"/>
  <c r="N34"/>
  <c r="P33"/>
  <c r="R33" s="1"/>
  <c r="P32"/>
  <c r="N32"/>
  <c r="L32"/>
  <c r="P31"/>
  <c r="N31"/>
  <c r="L31"/>
  <c r="R31" s="1"/>
  <c r="P30"/>
  <c r="L30"/>
  <c r="P29"/>
  <c r="R29" s="1"/>
  <c r="N29"/>
  <c r="P28"/>
  <c r="R28" s="1"/>
  <c r="P27"/>
  <c r="N27"/>
  <c r="AE27"/>
  <c r="AD27"/>
  <c r="AC27"/>
  <c r="AB27"/>
  <c r="P26"/>
  <c r="R26" s="1"/>
  <c r="N26"/>
  <c r="AF26"/>
  <c r="P25"/>
  <c r="N25"/>
  <c r="AF25"/>
  <c r="P24"/>
  <c r="N24"/>
  <c r="L24"/>
  <c r="R24" s="1"/>
  <c r="AF24"/>
  <c r="P23"/>
  <c r="N23"/>
  <c r="AF23"/>
  <c r="P22"/>
  <c r="N22"/>
  <c r="AF22"/>
  <c r="P21"/>
  <c r="R21" s="1"/>
  <c r="AF21"/>
  <c r="P20"/>
  <c r="N20"/>
  <c r="AF20"/>
  <c r="P19"/>
  <c r="N19"/>
  <c r="R19" s="1"/>
  <c r="AF19"/>
  <c r="P18"/>
  <c r="N18"/>
  <c r="AF18"/>
  <c r="P17"/>
  <c r="N17"/>
  <c r="L17"/>
  <c r="AF17"/>
  <c r="P16"/>
  <c r="N16"/>
  <c r="AF16"/>
  <c r="U16"/>
  <c r="T16" s="1"/>
  <c r="T17" s="1"/>
  <c r="U18" s="1"/>
  <c r="W18" s="1"/>
  <c r="AF15"/>
  <c r="P15"/>
  <c r="N15"/>
  <c r="L15"/>
  <c r="AF14"/>
  <c r="P14"/>
  <c r="R14" s="1"/>
  <c r="AF13"/>
  <c r="P13"/>
  <c r="N13"/>
  <c r="AF12"/>
  <c r="P12"/>
  <c r="R12" s="1"/>
  <c r="AF11"/>
  <c r="U11"/>
  <c r="T11" s="1"/>
  <c r="T12" s="1"/>
  <c r="U13" s="1"/>
  <c r="W13" s="1"/>
  <c r="P11"/>
  <c r="R11" s="1"/>
  <c r="P10"/>
  <c r="N10"/>
  <c r="L10"/>
  <c r="N9"/>
  <c r="L9"/>
  <c r="P8"/>
  <c r="N8"/>
  <c r="P7"/>
  <c r="L7"/>
  <c r="U6"/>
  <c r="T6" s="1"/>
  <c r="T7" s="1"/>
  <c r="U8" s="1"/>
  <c r="W8" s="1"/>
  <c r="L6"/>
  <c r="R6" s="1"/>
  <c r="L5"/>
  <c r="L42" s="1"/>
  <c r="S3"/>
  <c r="R48" i="10"/>
  <c r="R40" i="15" l="1"/>
  <c r="R42" s="1"/>
  <c r="R43" i="14"/>
  <c r="R41" i="12"/>
  <c r="R43" s="1"/>
  <c r="R46" s="1"/>
  <c r="R5" i="11"/>
  <c r="R7"/>
  <c r="R9"/>
  <c r="R10"/>
  <c r="R17"/>
  <c r="R32"/>
  <c r="R34"/>
  <c r="R41"/>
  <c r="P42"/>
  <c r="P43" s="1"/>
  <c r="R8"/>
  <c r="R16"/>
  <c r="R22"/>
  <c r="R25"/>
  <c r="R27"/>
  <c r="R30"/>
  <c r="R13"/>
  <c r="R15"/>
  <c r="R18"/>
  <c r="R20"/>
  <c r="R23"/>
  <c r="N42"/>
  <c r="R42" s="1"/>
  <c r="AI75" i="10"/>
  <c r="AH75"/>
  <c r="AG75"/>
  <c r="AE75"/>
  <c r="AD75"/>
  <c r="AC75"/>
  <c r="AB75"/>
  <c r="AE51"/>
  <c r="AD51"/>
  <c r="AC51"/>
  <c r="AB51"/>
  <c r="Q47"/>
  <c r="Q43"/>
  <c r="O43"/>
  <c r="O44" s="1"/>
  <c r="M43"/>
  <c r="M45" s="1"/>
  <c r="K43"/>
  <c r="P42"/>
  <c r="N42"/>
  <c r="R42" s="1"/>
  <c r="P41"/>
  <c r="R41" s="1"/>
  <c r="P40"/>
  <c r="R40" s="1"/>
  <c r="P39"/>
  <c r="R39" s="1"/>
  <c r="P38"/>
  <c r="N38"/>
  <c r="P37"/>
  <c r="N37"/>
  <c r="P36"/>
  <c r="R36" s="1"/>
  <c r="P35"/>
  <c r="N35"/>
  <c r="R35" s="1"/>
  <c r="P34"/>
  <c r="R34" s="1"/>
  <c r="P33"/>
  <c r="N33"/>
  <c r="L33"/>
  <c r="P32"/>
  <c r="N32"/>
  <c r="L32"/>
  <c r="R32" s="1"/>
  <c r="P31"/>
  <c r="L31"/>
  <c r="R30"/>
  <c r="P30"/>
  <c r="N30"/>
  <c r="P29"/>
  <c r="R29" s="1"/>
  <c r="P28"/>
  <c r="N28"/>
  <c r="AE27"/>
  <c r="AD27"/>
  <c r="AC27"/>
  <c r="AB27"/>
  <c r="P27"/>
  <c r="R27" s="1"/>
  <c r="N27"/>
  <c r="AF26"/>
  <c r="P26"/>
  <c r="N26"/>
  <c r="AF25"/>
  <c r="P25"/>
  <c r="N25"/>
  <c r="R25" s="1"/>
  <c r="L25"/>
  <c r="AF24"/>
  <c r="P24"/>
  <c r="N24"/>
  <c r="R24" s="1"/>
  <c r="AF23"/>
  <c r="P23"/>
  <c r="N23"/>
  <c r="AF22"/>
  <c r="P22"/>
  <c r="R22" s="1"/>
  <c r="AF21"/>
  <c r="P21"/>
  <c r="N21"/>
  <c r="AF20"/>
  <c r="P20"/>
  <c r="N20"/>
  <c r="R20" s="1"/>
  <c r="AF19"/>
  <c r="P19"/>
  <c r="N19"/>
  <c r="AF18"/>
  <c r="P18"/>
  <c r="N18"/>
  <c r="L18"/>
  <c r="R18" s="1"/>
  <c r="AF17"/>
  <c r="P17"/>
  <c r="N17"/>
  <c r="AF16"/>
  <c r="U16"/>
  <c r="T16" s="1"/>
  <c r="T17" s="1"/>
  <c r="U18" s="1"/>
  <c r="W18" s="1"/>
  <c r="P16"/>
  <c r="N16"/>
  <c r="L16"/>
  <c r="R16" s="1"/>
  <c r="AF15"/>
  <c r="P15"/>
  <c r="N15"/>
  <c r="L15"/>
  <c r="R15" s="1"/>
  <c r="AF14"/>
  <c r="R14"/>
  <c r="P14"/>
  <c r="AF13"/>
  <c r="P13"/>
  <c r="N13"/>
  <c r="AF12"/>
  <c r="P12"/>
  <c r="R12" s="1"/>
  <c r="AF11"/>
  <c r="U11"/>
  <c r="T11"/>
  <c r="T12" s="1"/>
  <c r="U13" s="1"/>
  <c r="W13" s="1"/>
  <c r="P11"/>
  <c r="R11" s="1"/>
  <c r="P10"/>
  <c r="N10"/>
  <c r="L10"/>
  <c r="N9"/>
  <c r="L9"/>
  <c r="P8"/>
  <c r="N8"/>
  <c r="P7"/>
  <c r="L7"/>
  <c r="R7" s="1"/>
  <c r="U6"/>
  <c r="T6"/>
  <c r="T7" s="1"/>
  <c r="U8" s="1"/>
  <c r="W8" s="1"/>
  <c r="L6"/>
  <c r="R6" s="1"/>
  <c r="L5"/>
  <c r="L43" s="1"/>
  <c r="S3"/>
  <c r="AI75" i="9"/>
  <c r="AH75"/>
  <c r="AG75"/>
  <c r="AE75"/>
  <c r="AD75"/>
  <c r="AC75"/>
  <c r="AB75"/>
  <c r="AE51"/>
  <c r="AD51"/>
  <c r="AC51"/>
  <c r="AB51"/>
  <c r="Q47"/>
  <c r="Q43"/>
  <c r="O43"/>
  <c r="O44" s="1"/>
  <c r="M43"/>
  <c r="M45" s="1"/>
  <c r="K43"/>
  <c r="P42"/>
  <c r="N42"/>
  <c r="R42" s="1"/>
  <c r="P41"/>
  <c r="R41" s="1"/>
  <c r="P40"/>
  <c r="R40" s="1"/>
  <c r="P39"/>
  <c r="R39" s="1"/>
  <c r="P38"/>
  <c r="N38"/>
  <c r="P37"/>
  <c r="N37"/>
  <c r="R37" s="1"/>
  <c r="P36"/>
  <c r="R36" s="1"/>
  <c r="P35"/>
  <c r="N35"/>
  <c r="P34"/>
  <c r="R34" s="1"/>
  <c r="P33"/>
  <c r="N33"/>
  <c r="L33"/>
  <c r="P32"/>
  <c r="N32"/>
  <c r="L32"/>
  <c r="R32" s="1"/>
  <c r="P31"/>
  <c r="L31"/>
  <c r="R30"/>
  <c r="P30"/>
  <c r="N30"/>
  <c r="P29"/>
  <c r="R29" s="1"/>
  <c r="P28"/>
  <c r="N28"/>
  <c r="R28" s="1"/>
  <c r="AE27"/>
  <c r="AD27"/>
  <c r="AC27"/>
  <c r="AB27"/>
  <c r="P27"/>
  <c r="R27" s="1"/>
  <c r="N27"/>
  <c r="AF26"/>
  <c r="P26"/>
  <c r="N26"/>
  <c r="AF25"/>
  <c r="P25"/>
  <c r="N25"/>
  <c r="R25" s="1"/>
  <c r="L25"/>
  <c r="AF24"/>
  <c r="P24"/>
  <c r="N24"/>
  <c r="R24" s="1"/>
  <c r="AF23"/>
  <c r="P23"/>
  <c r="N23"/>
  <c r="AF22"/>
  <c r="P22"/>
  <c r="R22" s="1"/>
  <c r="AF21"/>
  <c r="P21"/>
  <c r="N21"/>
  <c r="AF20"/>
  <c r="P20"/>
  <c r="N20"/>
  <c r="R20" s="1"/>
  <c r="AF19"/>
  <c r="P19"/>
  <c r="N19"/>
  <c r="AF18"/>
  <c r="P18"/>
  <c r="N18"/>
  <c r="R18" s="1"/>
  <c r="L18"/>
  <c r="AF17"/>
  <c r="P17"/>
  <c r="N17"/>
  <c r="R17" s="1"/>
  <c r="AF16"/>
  <c r="U16"/>
  <c r="T16" s="1"/>
  <c r="T17" s="1"/>
  <c r="U18" s="1"/>
  <c r="W18" s="1"/>
  <c r="P16"/>
  <c r="N16"/>
  <c r="R16" s="1"/>
  <c r="L16"/>
  <c r="AF15"/>
  <c r="P15"/>
  <c r="N15"/>
  <c r="L15"/>
  <c r="R15" s="1"/>
  <c r="AF14"/>
  <c r="P14"/>
  <c r="R14" s="1"/>
  <c r="AF13"/>
  <c r="P13"/>
  <c r="N13"/>
  <c r="AF12"/>
  <c r="P12"/>
  <c r="R12" s="1"/>
  <c r="AF11"/>
  <c r="U11"/>
  <c r="T11"/>
  <c r="T12" s="1"/>
  <c r="U13" s="1"/>
  <c r="W13" s="1"/>
  <c r="P11"/>
  <c r="R11"/>
  <c r="P10"/>
  <c r="N10"/>
  <c r="R10" s="1"/>
  <c r="L10"/>
  <c r="N9"/>
  <c r="L9"/>
  <c r="P8"/>
  <c r="N8"/>
  <c r="P7"/>
  <c r="L7"/>
  <c r="R7" s="1"/>
  <c r="U6"/>
  <c r="T6"/>
  <c r="T7" s="1"/>
  <c r="U8" s="1"/>
  <c r="W8" s="1"/>
  <c r="L6"/>
  <c r="R6" s="1"/>
  <c r="N43"/>
  <c r="L5"/>
  <c r="L43" s="1"/>
  <c r="S3"/>
  <c r="AB75" i="8"/>
  <c r="AC75"/>
  <c r="AD75"/>
  <c r="AE75"/>
  <c r="AG75"/>
  <c r="AH75"/>
  <c r="AI75"/>
  <c r="AE51"/>
  <c r="AD51"/>
  <c r="AC51"/>
  <c r="AB51"/>
  <c r="AF11"/>
  <c r="AF12"/>
  <c r="AF13"/>
  <c r="AF14"/>
  <c r="AF15"/>
  <c r="AF16"/>
  <c r="AF17"/>
  <c r="AF18"/>
  <c r="AF19"/>
  <c r="AF20"/>
  <c r="AF21"/>
  <c r="AF22"/>
  <c r="AF23"/>
  <c r="AF24"/>
  <c r="AF25"/>
  <c r="AF26"/>
  <c r="AB27"/>
  <c r="AC27"/>
  <c r="AD27"/>
  <c r="AE27"/>
  <c r="M43"/>
  <c r="M45" s="1"/>
  <c r="N18"/>
  <c r="N27"/>
  <c r="Q47"/>
  <c r="Q43"/>
  <c r="O43"/>
  <c r="O44" s="1"/>
  <c r="K43"/>
  <c r="P42"/>
  <c r="N42"/>
  <c r="P41"/>
  <c r="R41" s="1"/>
  <c r="P40"/>
  <c r="R40" s="1"/>
  <c r="P39"/>
  <c r="R39" s="1"/>
  <c r="P38"/>
  <c r="N38"/>
  <c r="P37"/>
  <c r="N37"/>
  <c r="P36"/>
  <c r="R36" s="1"/>
  <c r="P35"/>
  <c r="N35"/>
  <c r="P34"/>
  <c r="R34" s="1"/>
  <c r="P33"/>
  <c r="N33"/>
  <c r="L33"/>
  <c r="P32"/>
  <c r="L32"/>
  <c r="P31"/>
  <c r="L31"/>
  <c r="P30"/>
  <c r="N32"/>
  <c r="P29"/>
  <c r="R29" s="1"/>
  <c r="P28"/>
  <c r="N28"/>
  <c r="P27"/>
  <c r="N30"/>
  <c r="P26"/>
  <c r="N26"/>
  <c r="P25"/>
  <c r="N25"/>
  <c r="L25"/>
  <c r="P24"/>
  <c r="N24"/>
  <c r="P23"/>
  <c r="N23"/>
  <c r="P22"/>
  <c r="R22" s="1"/>
  <c r="P21"/>
  <c r="N21"/>
  <c r="P20"/>
  <c r="N20"/>
  <c r="P19"/>
  <c r="N19"/>
  <c r="P18"/>
  <c r="L18"/>
  <c r="P17"/>
  <c r="N17"/>
  <c r="U16"/>
  <c r="T16" s="1"/>
  <c r="T17" s="1"/>
  <c r="U18" s="1"/>
  <c r="W18" s="1"/>
  <c r="P16"/>
  <c r="N16"/>
  <c r="L16"/>
  <c r="P15"/>
  <c r="N15"/>
  <c r="L15"/>
  <c r="P14"/>
  <c r="R14" s="1"/>
  <c r="P13"/>
  <c r="N13"/>
  <c r="P12"/>
  <c r="R12" s="1"/>
  <c r="U11"/>
  <c r="T11" s="1"/>
  <c r="T12" s="1"/>
  <c r="U13" s="1"/>
  <c r="W13" s="1"/>
  <c r="P11"/>
  <c r="N11"/>
  <c r="P10"/>
  <c r="N10"/>
  <c r="L10"/>
  <c r="N9"/>
  <c r="L9"/>
  <c r="P8"/>
  <c r="N8"/>
  <c r="P7"/>
  <c r="N7"/>
  <c r="L7"/>
  <c r="U6"/>
  <c r="T6" s="1"/>
  <c r="T7" s="1"/>
  <c r="U8" s="1"/>
  <c r="W8" s="1"/>
  <c r="L6"/>
  <c r="R6" s="1"/>
  <c r="N5"/>
  <c r="L5"/>
  <c r="S3"/>
  <c r="N15" i="7"/>
  <c r="P15"/>
  <c r="N42"/>
  <c r="N11"/>
  <c r="N33"/>
  <c r="N10"/>
  <c r="N7"/>
  <c r="N5"/>
  <c r="Q47"/>
  <c r="Q43"/>
  <c r="O43"/>
  <c r="O44" s="1"/>
  <c r="M43"/>
  <c r="M45" s="1"/>
  <c r="K43"/>
  <c r="U42"/>
  <c r="T42"/>
  <c r="T43" s="1"/>
  <c r="U44" s="1"/>
  <c r="W44" s="1"/>
  <c r="P42"/>
  <c r="U41"/>
  <c r="T41"/>
  <c r="P41"/>
  <c r="R41" s="1"/>
  <c r="P40"/>
  <c r="R40" s="1"/>
  <c r="P39"/>
  <c r="R39" s="1"/>
  <c r="P38"/>
  <c r="N38"/>
  <c r="R38" s="1"/>
  <c r="P37"/>
  <c r="N37"/>
  <c r="R37" s="1"/>
  <c r="U36"/>
  <c r="T36"/>
  <c r="T37" s="1"/>
  <c r="U38" s="1"/>
  <c r="P36"/>
  <c r="R36" s="1"/>
  <c r="P35"/>
  <c r="N35"/>
  <c r="R34"/>
  <c r="P34"/>
  <c r="P33"/>
  <c r="L33"/>
  <c r="P32"/>
  <c r="L32"/>
  <c r="R32" s="1"/>
  <c r="U31"/>
  <c r="T31" s="1"/>
  <c r="T32" s="1"/>
  <c r="U33" s="1"/>
  <c r="W33" s="1"/>
  <c r="P31"/>
  <c r="L31"/>
  <c r="R31" s="1"/>
  <c r="P30"/>
  <c r="N30"/>
  <c r="P29"/>
  <c r="R29" s="1"/>
  <c r="P28"/>
  <c r="N28"/>
  <c r="P27"/>
  <c r="N27"/>
  <c r="U26"/>
  <c r="T26"/>
  <c r="T27" s="1"/>
  <c r="U28" s="1"/>
  <c r="W28" s="1"/>
  <c r="P26"/>
  <c r="N26"/>
  <c r="R26" s="1"/>
  <c r="P25"/>
  <c r="N25"/>
  <c r="R25" s="1"/>
  <c r="L25"/>
  <c r="P24"/>
  <c r="N24"/>
  <c r="P23"/>
  <c r="N23"/>
  <c r="R22"/>
  <c r="P22"/>
  <c r="U21"/>
  <c r="T21" s="1"/>
  <c r="T22" s="1"/>
  <c r="U23" s="1"/>
  <c r="P21"/>
  <c r="N21"/>
  <c r="P20"/>
  <c r="N20"/>
  <c r="R20" s="1"/>
  <c r="P19"/>
  <c r="N19"/>
  <c r="R19" s="1"/>
  <c r="P18"/>
  <c r="L18"/>
  <c r="P17"/>
  <c r="N17"/>
  <c r="U16"/>
  <c r="T16"/>
  <c r="T17" s="1"/>
  <c r="U18" s="1"/>
  <c r="W18" s="1"/>
  <c r="P16"/>
  <c r="N16"/>
  <c r="L16"/>
  <c r="R16" s="1"/>
  <c r="L15"/>
  <c r="P14"/>
  <c r="R14" s="1"/>
  <c r="P13"/>
  <c r="N13"/>
  <c r="P12"/>
  <c r="R12" s="1"/>
  <c r="U11"/>
  <c r="T11" s="1"/>
  <c r="T12" s="1"/>
  <c r="U13" s="1"/>
  <c r="W13" s="1"/>
  <c r="P11"/>
  <c r="R11" s="1"/>
  <c r="P10"/>
  <c r="R10"/>
  <c r="L10"/>
  <c r="N9"/>
  <c r="L9"/>
  <c r="P8"/>
  <c r="N8"/>
  <c r="P7"/>
  <c r="L7"/>
  <c r="U6"/>
  <c r="T6"/>
  <c r="T7" s="1"/>
  <c r="U8" s="1"/>
  <c r="L6"/>
  <c r="R6" s="1"/>
  <c r="L5"/>
  <c r="L43" s="1"/>
  <c r="S3"/>
  <c r="R44" i="6"/>
  <c r="R44" i="11" l="1"/>
  <c r="R47" s="1"/>
  <c r="N43" i="10"/>
  <c r="R43" s="1"/>
  <c r="R9"/>
  <c r="R10"/>
  <c r="R33"/>
  <c r="R38"/>
  <c r="R37"/>
  <c r="R13"/>
  <c r="P43"/>
  <c r="P44" s="1"/>
  <c r="R17"/>
  <c r="R23"/>
  <c r="R26"/>
  <c r="R28"/>
  <c r="R31"/>
  <c r="R19"/>
  <c r="R21"/>
  <c r="R44" s="1"/>
  <c r="R8"/>
  <c r="R5"/>
  <c r="P43" i="9"/>
  <c r="P44" s="1"/>
  <c r="R35"/>
  <c r="R38"/>
  <c r="R9"/>
  <c r="R33"/>
  <c r="R8"/>
  <c r="R23"/>
  <c r="R26"/>
  <c r="R31"/>
  <c r="R13"/>
  <c r="R19"/>
  <c r="R21"/>
  <c r="R44" s="1"/>
  <c r="R5"/>
  <c r="R42" i="8"/>
  <c r="L43"/>
  <c r="R32"/>
  <c r="R7"/>
  <c r="R11"/>
  <c r="R15"/>
  <c r="R18"/>
  <c r="R19"/>
  <c r="R35"/>
  <c r="R30"/>
  <c r="R26"/>
  <c r="R21"/>
  <c r="P43"/>
  <c r="P44" s="1"/>
  <c r="R10"/>
  <c r="R17"/>
  <c r="R20"/>
  <c r="N43"/>
  <c r="R31"/>
  <c r="R8"/>
  <c r="R13"/>
  <c r="R23"/>
  <c r="R24"/>
  <c r="R27"/>
  <c r="R28"/>
  <c r="R37"/>
  <c r="R38"/>
  <c r="R33"/>
  <c r="R9"/>
  <c r="R16"/>
  <c r="R44" s="1"/>
  <c r="R25"/>
  <c r="R43"/>
  <c r="R5"/>
  <c r="R15" i="7"/>
  <c r="R42"/>
  <c r="N43"/>
  <c r="R9"/>
  <c r="R30"/>
  <c r="R21"/>
  <c r="R13"/>
  <c r="P43"/>
  <c r="P44" s="1"/>
  <c r="R17"/>
  <c r="R23"/>
  <c r="R24"/>
  <c r="R7"/>
  <c r="R44" s="1"/>
  <c r="R27"/>
  <c r="R28"/>
  <c r="R33"/>
  <c r="R35"/>
  <c r="R18"/>
  <c r="R8"/>
  <c r="R5"/>
  <c r="Q47" i="6"/>
  <c r="N33"/>
  <c r="Q43"/>
  <c r="O43"/>
  <c r="O44" s="1"/>
  <c r="M43"/>
  <c r="M45" s="1"/>
  <c r="K43"/>
  <c r="U42"/>
  <c r="T42"/>
  <c r="T43" s="1"/>
  <c r="U44" s="1"/>
  <c r="W44" s="1"/>
  <c r="P42"/>
  <c r="R42" s="1"/>
  <c r="U41"/>
  <c r="T41"/>
  <c r="P41"/>
  <c r="P40"/>
  <c r="R40" s="1"/>
  <c r="R39"/>
  <c r="P39"/>
  <c r="P38"/>
  <c r="N38"/>
  <c r="P37"/>
  <c r="N37"/>
  <c r="U36"/>
  <c r="T36" s="1"/>
  <c r="T37" s="1"/>
  <c r="U38" s="1"/>
  <c r="P36"/>
  <c r="R36" s="1"/>
  <c r="P35"/>
  <c r="N35"/>
  <c r="R35" s="1"/>
  <c r="P34"/>
  <c r="R34" s="1"/>
  <c r="P33"/>
  <c r="L33"/>
  <c r="P32"/>
  <c r="R32"/>
  <c r="L32"/>
  <c r="U31"/>
  <c r="T31" s="1"/>
  <c r="T32" s="1"/>
  <c r="U33" s="1"/>
  <c r="W33" s="1"/>
  <c r="P31"/>
  <c r="L31"/>
  <c r="R31" s="1"/>
  <c r="P30"/>
  <c r="N30"/>
  <c r="R30" s="1"/>
  <c r="P29"/>
  <c r="R29"/>
  <c r="P28"/>
  <c r="N28"/>
  <c r="R28" s="1"/>
  <c r="P27"/>
  <c r="N27"/>
  <c r="R27" s="1"/>
  <c r="U26"/>
  <c r="T26" s="1"/>
  <c r="T27" s="1"/>
  <c r="U28" s="1"/>
  <c r="W28" s="1"/>
  <c r="P26"/>
  <c r="N26"/>
  <c r="P25"/>
  <c r="N25"/>
  <c r="L25"/>
  <c r="R25" s="1"/>
  <c r="P24"/>
  <c r="N24"/>
  <c r="R24" s="1"/>
  <c r="P23"/>
  <c r="N23"/>
  <c r="R23" s="1"/>
  <c r="P22"/>
  <c r="R22" s="1"/>
  <c r="U21"/>
  <c r="T21"/>
  <c r="T22" s="1"/>
  <c r="U23" s="1"/>
  <c r="P21"/>
  <c r="N21"/>
  <c r="P20"/>
  <c r="N20"/>
  <c r="P19"/>
  <c r="N19"/>
  <c r="P18"/>
  <c r="N18"/>
  <c r="L18"/>
  <c r="P17"/>
  <c r="N17"/>
  <c r="R17" s="1"/>
  <c r="U16"/>
  <c r="T16" s="1"/>
  <c r="T17" s="1"/>
  <c r="U18" s="1"/>
  <c r="W18" s="1"/>
  <c r="P16"/>
  <c r="N16"/>
  <c r="L16"/>
  <c r="P15"/>
  <c r="R15"/>
  <c r="L15"/>
  <c r="R14"/>
  <c r="P14"/>
  <c r="P13"/>
  <c r="N13"/>
  <c r="R12"/>
  <c r="P12"/>
  <c r="U11"/>
  <c r="T11" s="1"/>
  <c r="T12" s="1"/>
  <c r="U13" s="1"/>
  <c r="W13" s="1"/>
  <c r="P11"/>
  <c r="R11"/>
  <c r="P10"/>
  <c r="N10"/>
  <c r="L10"/>
  <c r="N9"/>
  <c r="N43" s="1"/>
  <c r="L9"/>
  <c r="P8"/>
  <c r="N8"/>
  <c r="P7"/>
  <c r="L7"/>
  <c r="U6"/>
  <c r="T6"/>
  <c r="T7" s="1"/>
  <c r="U8" s="1"/>
  <c r="L6"/>
  <c r="R6" s="1"/>
  <c r="L5"/>
  <c r="L43" s="1"/>
  <c r="S3"/>
  <c r="N15" i="5"/>
  <c r="U41"/>
  <c r="T41" s="1"/>
  <c r="P41"/>
  <c r="N41"/>
  <c r="R41" s="1"/>
  <c r="N11"/>
  <c r="N33"/>
  <c r="N7"/>
  <c r="S3"/>
  <c r="R45" i="10" l="1"/>
  <c r="R43" i="9"/>
  <c r="R45" s="1"/>
  <c r="R45" i="8"/>
  <c r="R43" i="7"/>
  <c r="R45" s="1"/>
  <c r="P43" i="6"/>
  <c r="P44" s="1"/>
  <c r="R8"/>
  <c r="R13"/>
  <c r="R16"/>
  <c r="R18"/>
  <c r="R19"/>
  <c r="R20"/>
  <c r="R21"/>
  <c r="R26"/>
  <c r="R37"/>
  <c r="R38"/>
  <c r="R41"/>
  <c r="R9"/>
  <c r="R10"/>
  <c r="R43"/>
  <c r="R7"/>
  <c r="R33"/>
  <c r="R5"/>
  <c r="Q43" i="5"/>
  <c r="O43"/>
  <c r="O44" s="1"/>
  <c r="M43"/>
  <c r="M45" s="1"/>
  <c r="K43"/>
  <c r="U42"/>
  <c r="T42"/>
  <c r="T43" s="1"/>
  <c r="U44" s="1"/>
  <c r="W44" s="1"/>
  <c r="P42"/>
  <c r="R42" s="1"/>
  <c r="P40"/>
  <c r="R40" s="1"/>
  <c r="P39"/>
  <c r="R39" s="1"/>
  <c r="P38"/>
  <c r="N38"/>
  <c r="P37"/>
  <c r="N37"/>
  <c r="U36"/>
  <c r="T36" s="1"/>
  <c r="T37" s="1"/>
  <c r="U38" s="1"/>
  <c r="P36"/>
  <c r="R36" s="1"/>
  <c r="P35"/>
  <c r="N35"/>
  <c r="P34"/>
  <c r="R34" s="1"/>
  <c r="P33"/>
  <c r="L33"/>
  <c r="R33" s="1"/>
  <c r="P32"/>
  <c r="N32"/>
  <c r="L32"/>
  <c r="U31"/>
  <c r="T31" s="1"/>
  <c r="T32" s="1"/>
  <c r="U33" s="1"/>
  <c r="W33" s="1"/>
  <c r="P31"/>
  <c r="L31"/>
  <c r="P30"/>
  <c r="N30"/>
  <c r="P29"/>
  <c r="N29"/>
  <c r="R29" s="1"/>
  <c r="P28"/>
  <c r="N28"/>
  <c r="P27"/>
  <c r="N27"/>
  <c r="U26"/>
  <c r="T26" s="1"/>
  <c r="T27" s="1"/>
  <c r="U28" s="1"/>
  <c r="W28" s="1"/>
  <c r="P26"/>
  <c r="N26"/>
  <c r="R26" s="1"/>
  <c r="P25"/>
  <c r="N25"/>
  <c r="L25"/>
  <c r="P24"/>
  <c r="N24"/>
  <c r="R24" s="1"/>
  <c r="P23"/>
  <c r="N23"/>
  <c r="P22"/>
  <c r="R22" s="1"/>
  <c r="U21"/>
  <c r="T21"/>
  <c r="T22" s="1"/>
  <c r="U23" s="1"/>
  <c r="P21"/>
  <c r="N21"/>
  <c r="R21" s="1"/>
  <c r="P20"/>
  <c r="N20"/>
  <c r="P19"/>
  <c r="N19"/>
  <c r="P18"/>
  <c r="N18"/>
  <c r="R18" s="1"/>
  <c r="L18"/>
  <c r="P17"/>
  <c r="N17"/>
  <c r="U16"/>
  <c r="T16" s="1"/>
  <c r="T17" s="1"/>
  <c r="U18" s="1"/>
  <c r="W18" s="1"/>
  <c r="P16"/>
  <c r="N16"/>
  <c r="R16" s="1"/>
  <c r="L16"/>
  <c r="P15"/>
  <c r="L15"/>
  <c r="P14"/>
  <c r="P13"/>
  <c r="N13"/>
  <c r="P12"/>
  <c r="R12" s="1"/>
  <c r="U11"/>
  <c r="T11"/>
  <c r="T12" s="1"/>
  <c r="U13" s="1"/>
  <c r="W13" s="1"/>
  <c r="P11"/>
  <c r="R11" s="1"/>
  <c r="P10"/>
  <c r="N10"/>
  <c r="L10"/>
  <c r="R10" s="1"/>
  <c r="N9"/>
  <c r="L9"/>
  <c r="P8"/>
  <c r="N8"/>
  <c r="N43" s="1"/>
  <c r="P7"/>
  <c r="L7"/>
  <c r="U6"/>
  <c r="T6" s="1"/>
  <c r="T7" s="1"/>
  <c r="U8" s="1"/>
  <c r="R6"/>
  <c r="L6"/>
  <c r="R5"/>
  <c r="L5"/>
  <c r="L43" s="1"/>
  <c r="R44" i="4"/>
  <c r="R43"/>
  <c r="Q532" i="3"/>
  <c r="O532"/>
  <c r="O533" s="1"/>
  <c r="M532"/>
  <c r="M534" s="1"/>
  <c r="K532"/>
  <c r="U531"/>
  <c r="T531"/>
  <c r="T532" s="1"/>
  <c r="U533" s="1"/>
  <c r="W533" s="1"/>
  <c r="P531"/>
  <c r="R531" s="1"/>
  <c r="P530"/>
  <c r="R530" s="1"/>
  <c r="P529"/>
  <c r="R529" s="1"/>
  <c r="P528"/>
  <c r="N528"/>
  <c r="R528" s="1"/>
  <c r="P527"/>
  <c r="N527"/>
  <c r="R527" s="1"/>
  <c r="U526"/>
  <c r="T526"/>
  <c r="T527" s="1"/>
  <c r="U528" s="1"/>
  <c r="P526"/>
  <c r="R526" s="1"/>
  <c r="P525"/>
  <c r="N525"/>
  <c r="R524"/>
  <c r="P524"/>
  <c r="P523"/>
  <c r="N523"/>
  <c r="R523" s="1"/>
  <c r="L523"/>
  <c r="P522"/>
  <c r="N522"/>
  <c r="L522"/>
  <c r="R522" s="1"/>
  <c r="U521"/>
  <c r="T521"/>
  <c r="T522" s="1"/>
  <c r="U523" s="1"/>
  <c r="W523" s="1"/>
  <c r="P521"/>
  <c r="N521"/>
  <c r="L521"/>
  <c r="R521" s="1"/>
  <c r="P520"/>
  <c r="N520"/>
  <c r="P519"/>
  <c r="N519"/>
  <c r="R519" s="1"/>
  <c r="P518"/>
  <c r="N518"/>
  <c r="T517"/>
  <c r="U518" s="1"/>
  <c r="W518" s="1"/>
  <c r="P517"/>
  <c r="N517"/>
  <c r="R517" s="1"/>
  <c r="U516"/>
  <c r="T516" s="1"/>
  <c r="P516"/>
  <c r="N516"/>
  <c r="R516" s="1"/>
  <c r="P515"/>
  <c r="N515"/>
  <c r="L515"/>
  <c r="R515" s="1"/>
  <c r="P514"/>
  <c r="N514"/>
  <c r="P513"/>
  <c r="N513"/>
  <c r="R513" s="1"/>
  <c r="P512"/>
  <c r="R512" s="1"/>
  <c r="U511"/>
  <c r="T511"/>
  <c r="T512" s="1"/>
  <c r="U513" s="1"/>
  <c r="P511"/>
  <c r="N511"/>
  <c r="R511" s="1"/>
  <c r="P510"/>
  <c r="N510"/>
  <c r="R510" s="1"/>
  <c r="P509"/>
  <c r="N509"/>
  <c r="P508"/>
  <c r="N508"/>
  <c r="R508" s="1"/>
  <c r="L508"/>
  <c r="P507"/>
  <c r="N507"/>
  <c r="U506"/>
  <c r="T506" s="1"/>
  <c r="T507" s="1"/>
  <c r="U508" s="1"/>
  <c r="W508" s="1"/>
  <c r="P506"/>
  <c r="N506"/>
  <c r="R506" s="1"/>
  <c r="L506"/>
  <c r="P505"/>
  <c r="N505"/>
  <c r="R505" s="1"/>
  <c r="L505"/>
  <c r="P504"/>
  <c r="N504"/>
  <c r="R504" s="1"/>
  <c r="P503"/>
  <c r="N503"/>
  <c r="R503" s="1"/>
  <c r="P502"/>
  <c r="R502" s="1"/>
  <c r="U501"/>
  <c r="T501"/>
  <c r="T502" s="1"/>
  <c r="U503" s="1"/>
  <c r="W503" s="1"/>
  <c r="P501"/>
  <c r="R501" s="1"/>
  <c r="P500"/>
  <c r="N500"/>
  <c r="L500"/>
  <c r="R500" s="1"/>
  <c r="N499"/>
  <c r="L499"/>
  <c r="R499" s="1"/>
  <c r="P498"/>
  <c r="N498"/>
  <c r="T497"/>
  <c r="U498" s="1"/>
  <c r="P497"/>
  <c r="L497"/>
  <c r="R497" s="1"/>
  <c r="U496"/>
  <c r="T496" s="1"/>
  <c r="R496"/>
  <c r="L496"/>
  <c r="R495"/>
  <c r="L495"/>
  <c r="T493"/>
  <c r="Q488"/>
  <c r="O488"/>
  <c r="O489" s="1"/>
  <c r="M488"/>
  <c r="K488"/>
  <c r="P487"/>
  <c r="N487"/>
  <c r="R487" s="1"/>
  <c r="P486"/>
  <c r="R486" s="1"/>
  <c r="P485"/>
  <c r="N485"/>
  <c r="P484"/>
  <c r="N484"/>
  <c r="R484" s="1"/>
  <c r="P483"/>
  <c r="N483"/>
  <c r="R483" s="1"/>
  <c r="P482"/>
  <c r="N482"/>
  <c r="R482" s="1"/>
  <c r="P481"/>
  <c r="N481"/>
  <c r="P480"/>
  <c r="L480"/>
  <c r="R480" s="1"/>
  <c r="P479"/>
  <c r="N479"/>
  <c r="L479"/>
  <c r="R479" s="1"/>
  <c r="P478"/>
  <c r="N478"/>
  <c r="L478"/>
  <c r="R478" s="1"/>
  <c r="P477"/>
  <c r="N477"/>
  <c r="R477" s="1"/>
  <c r="P476"/>
  <c r="N476"/>
  <c r="R476" s="1"/>
  <c r="P475"/>
  <c r="N475"/>
  <c r="P474"/>
  <c r="N474"/>
  <c r="R474" s="1"/>
  <c r="P473"/>
  <c r="N473"/>
  <c r="R473" s="1"/>
  <c r="P472"/>
  <c r="N472"/>
  <c r="R472" s="1"/>
  <c r="L472"/>
  <c r="P471"/>
  <c r="N471"/>
  <c r="R471" s="1"/>
  <c r="P470"/>
  <c r="N470"/>
  <c r="P469"/>
  <c r="N469"/>
  <c r="R469" s="1"/>
  <c r="P468"/>
  <c r="N468"/>
  <c r="U467"/>
  <c r="T467" s="1"/>
  <c r="T468" s="1"/>
  <c r="U469" s="1"/>
  <c r="P467"/>
  <c r="N467"/>
  <c r="R467" s="1"/>
  <c r="P466"/>
  <c r="N466"/>
  <c r="P465"/>
  <c r="N465"/>
  <c r="R465" s="1"/>
  <c r="L465"/>
  <c r="P464"/>
  <c r="N464"/>
  <c r="R464" s="1"/>
  <c r="P463"/>
  <c r="N463"/>
  <c r="L463"/>
  <c r="R463" s="1"/>
  <c r="U462"/>
  <c r="T462"/>
  <c r="T463" s="1"/>
  <c r="U464" s="1"/>
  <c r="P462"/>
  <c r="N462"/>
  <c r="L462"/>
  <c r="R462" s="1"/>
  <c r="P461"/>
  <c r="N461"/>
  <c r="P460"/>
  <c r="N460"/>
  <c r="N488" s="1"/>
  <c r="P459"/>
  <c r="N459"/>
  <c r="R459" s="1"/>
  <c r="P458"/>
  <c r="N458"/>
  <c r="R458" s="1"/>
  <c r="P457"/>
  <c r="P488" s="1"/>
  <c r="P489" s="1"/>
  <c r="N457"/>
  <c r="L457"/>
  <c r="R457" s="1"/>
  <c r="N456"/>
  <c r="L456"/>
  <c r="R456" s="1"/>
  <c r="P455"/>
  <c r="N455"/>
  <c r="R455" s="1"/>
  <c r="U454"/>
  <c r="P454"/>
  <c r="L454"/>
  <c r="R454" s="1"/>
  <c r="L453"/>
  <c r="R453" s="1"/>
  <c r="L452"/>
  <c r="R452" s="1"/>
  <c r="Q445"/>
  <c r="O445"/>
  <c r="O446" s="1"/>
  <c r="M445"/>
  <c r="K445"/>
  <c r="P444"/>
  <c r="N444"/>
  <c r="R444" s="1"/>
  <c r="P443"/>
  <c r="N443"/>
  <c r="P442"/>
  <c r="N442"/>
  <c r="R442" s="1"/>
  <c r="P441"/>
  <c r="N441"/>
  <c r="R441" s="1"/>
  <c r="P440"/>
  <c r="N440"/>
  <c r="R440" s="1"/>
  <c r="P439"/>
  <c r="N439"/>
  <c r="P438"/>
  <c r="N438"/>
  <c r="R438" s="1"/>
  <c r="P437"/>
  <c r="N437"/>
  <c r="L437"/>
  <c r="R437" s="1"/>
  <c r="P436"/>
  <c r="N436"/>
  <c r="L436"/>
  <c r="R436" s="1"/>
  <c r="P435"/>
  <c r="N435"/>
  <c r="L435"/>
  <c r="R435" s="1"/>
  <c r="P434"/>
  <c r="N434"/>
  <c r="P433"/>
  <c r="N433"/>
  <c r="R433" s="1"/>
  <c r="U432"/>
  <c r="P432"/>
  <c r="N432"/>
  <c r="R432" s="1"/>
  <c r="P431"/>
  <c r="N431"/>
  <c r="R431" s="1"/>
  <c r="P430"/>
  <c r="N430"/>
  <c r="V429"/>
  <c r="V431" s="1"/>
  <c r="P429"/>
  <c r="N429"/>
  <c r="L429"/>
  <c r="R429" s="1"/>
  <c r="P428"/>
  <c r="N428"/>
  <c r="P427"/>
  <c r="N427"/>
  <c r="R427" s="1"/>
  <c r="P426"/>
  <c r="N426"/>
  <c r="R426" s="1"/>
  <c r="P425"/>
  <c r="N425"/>
  <c r="R425" s="1"/>
  <c r="U424"/>
  <c r="T424"/>
  <c r="T425" s="1"/>
  <c r="U426" s="1"/>
  <c r="P424"/>
  <c r="N424"/>
  <c r="R424" s="1"/>
  <c r="P423"/>
  <c r="N423"/>
  <c r="R423" s="1"/>
  <c r="P422"/>
  <c r="N422"/>
  <c r="L422"/>
  <c r="R422" s="1"/>
  <c r="P421"/>
  <c r="N421"/>
  <c r="R421" s="1"/>
  <c r="P420"/>
  <c r="N420"/>
  <c r="R420" s="1"/>
  <c r="L420"/>
  <c r="U419"/>
  <c r="T419" s="1"/>
  <c r="T420" s="1"/>
  <c r="U421" s="1"/>
  <c r="P419"/>
  <c r="N419"/>
  <c r="R419" s="1"/>
  <c r="L419"/>
  <c r="P418"/>
  <c r="N418"/>
  <c r="R418" s="1"/>
  <c r="P417"/>
  <c r="N417"/>
  <c r="P416"/>
  <c r="N416"/>
  <c r="R416" s="1"/>
  <c r="P415"/>
  <c r="N415"/>
  <c r="R415" s="1"/>
  <c r="P414"/>
  <c r="N414"/>
  <c r="R414" s="1"/>
  <c r="L414"/>
  <c r="N413"/>
  <c r="L413"/>
  <c r="R413" s="1"/>
  <c r="P412"/>
  <c r="P445" s="1"/>
  <c r="P446" s="1"/>
  <c r="N412"/>
  <c r="P411"/>
  <c r="N411"/>
  <c r="R411" s="1"/>
  <c r="L411"/>
  <c r="N410"/>
  <c r="L410"/>
  <c r="L445" s="1"/>
  <c r="R445" s="1"/>
  <c r="R447" s="1"/>
  <c r="N409"/>
  <c r="N445" s="1"/>
  <c r="L409"/>
  <c r="R409" s="1"/>
  <c r="O402"/>
  <c r="O404" s="1"/>
  <c r="M402"/>
  <c r="K402"/>
  <c r="R401"/>
  <c r="P401"/>
  <c r="Q400"/>
  <c r="P400"/>
  <c r="R400" s="1"/>
  <c r="Q399"/>
  <c r="P399"/>
  <c r="R398"/>
  <c r="P398"/>
  <c r="P397"/>
  <c r="N397"/>
  <c r="R397" s="1"/>
  <c r="P396"/>
  <c r="R396" s="1"/>
  <c r="Q395"/>
  <c r="P395"/>
  <c r="Q394"/>
  <c r="P394"/>
  <c r="N394"/>
  <c r="L394"/>
  <c r="R394" s="1"/>
  <c r="Q393"/>
  <c r="P393"/>
  <c r="L393"/>
  <c r="R393" s="1"/>
  <c r="P392"/>
  <c r="L392"/>
  <c r="P391"/>
  <c r="N391"/>
  <c r="R391" s="1"/>
  <c r="Q390"/>
  <c r="P390"/>
  <c r="R390" s="1"/>
  <c r="U389"/>
  <c r="V386" s="1"/>
  <c r="P389"/>
  <c r="N389"/>
  <c r="V388"/>
  <c r="P388"/>
  <c r="R388" s="1"/>
  <c r="P387"/>
  <c r="R387" s="1"/>
  <c r="P386"/>
  <c r="L386"/>
  <c r="R386" s="1"/>
  <c r="P385"/>
  <c r="R385" s="1"/>
  <c r="P384"/>
  <c r="R384" s="1"/>
  <c r="R383"/>
  <c r="P383"/>
  <c r="T382"/>
  <c r="U383" s="1"/>
  <c r="P382"/>
  <c r="R382" s="1"/>
  <c r="U381"/>
  <c r="T381"/>
  <c r="P381"/>
  <c r="R381" s="1"/>
  <c r="P380"/>
  <c r="R380" s="1"/>
  <c r="P379"/>
  <c r="N379"/>
  <c r="L379"/>
  <c r="R379" s="1"/>
  <c r="R378"/>
  <c r="P378"/>
  <c r="P377"/>
  <c r="L377"/>
  <c r="U376"/>
  <c r="T376" s="1"/>
  <c r="T377" s="1"/>
  <c r="U378" s="1"/>
  <c r="P376"/>
  <c r="N376"/>
  <c r="N402" s="1"/>
  <c r="L376"/>
  <c r="R375"/>
  <c r="P375"/>
  <c r="R374"/>
  <c r="P374"/>
  <c r="P373"/>
  <c r="Q372"/>
  <c r="P372"/>
  <c r="Q371"/>
  <c r="P371"/>
  <c r="R371" s="1"/>
  <c r="L371"/>
  <c r="N370"/>
  <c r="L370"/>
  <c r="R370" s="1"/>
  <c r="P369"/>
  <c r="R369" s="1"/>
  <c r="Q368"/>
  <c r="P368"/>
  <c r="L368"/>
  <c r="R368" s="1"/>
  <c r="L367"/>
  <c r="R367" s="1"/>
  <c r="Q366"/>
  <c r="Q402" s="1"/>
  <c r="L366"/>
  <c r="Q358"/>
  <c r="O358"/>
  <c r="O360" s="1"/>
  <c r="M358"/>
  <c r="K358"/>
  <c r="R357"/>
  <c r="P357"/>
  <c r="R356"/>
  <c r="P356"/>
  <c r="R355"/>
  <c r="P355"/>
  <c r="P354"/>
  <c r="N354"/>
  <c r="R354" s="1"/>
  <c r="P353"/>
  <c r="R353" s="1"/>
  <c r="P352"/>
  <c r="R352" s="1"/>
  <c r="P351"/>
  <c r="L351"/>
  <c r="P350"/>
  <c r="L350"/>
  <c r="R350" s="1"/>
  <c r="P349"/>
  <c r="L349"/>
  <c r="R349" s="1"/>
  <c r="P348"/>
  <c r="N348"/>
  <c r="R348" s="1"/>
  <c r="U347"/>
  <c r="R347"/>
  <c r="P347"/>
  <c r="P346"/>
  <c r="N346"/>
  <c r="R345"/>
  <c r="P345"/>
  <c r="V344"/>
  <c r="V346" s="1"/>
  <c r="P344"/>
  <c r="R344" s="1"/>
  <c r="P343"/>
  <c r="L343"/>
  <c r="R342"/>
  <c r="P342"/>
  <c r="P341"/>
  <c r="R341" s="1"/>
  <c r="R340"/>
  <c r="P340"/>
  <c r="U339"/>
  <c r="T339" s="1"/>
  <c r="T340" s="1"/>
  <c r="U341" s="1"/>
  <c r="R339"/>
  <c r="P339"/>
  <c r="R338"/>
  <c r="P338"/>
  <c r="P337"/>
  <c r="N337"/>
  <c r="R337" s="1"/>
  <c r="L337"/>
  <c r="P336"/>
  <c r="R336" s="1"/>
  <c r="P335"/>
  <c r="L335"/>
  <c r="R335" s="1"/>
  <c r="U334"/>
  <c r="T334"/>
  <c r="T335" s="1"/>
  <c r="U336" s="1"/>
  <c r="P334"/>
  <c r="P358" s="1"/>
  <c r="L334"/>
  <c r="R333"/>
  <c r="P333"/>
  <c r="R332"/>
  <c r="P332"/>
  <c r="R331"/>
  <c r="P331"/>
  <c r="R330"/>
  <c r="P330"/>
  <c r="P329"/>
  <c r="L329"/>
  <c r="R329" s="1"/>
  <c r="N328"/>
  <c r="N358" s="1"/>
  <c r="L328"/>
  <c r="R328" s="1"/>
  <c r="R327"/>
  <c r="P327"/>
  <c r="P326"/>
  <c r="L326"/>
  <c r="R326" s="1"/>
  <c r="L325"/>
  <c r="R325" s="1"/>
  <c r="L324"/>
  <c r="R324" s="1"/>
  <c r="O317"/>
  <c r="O319" s="1"/>
  <c r="M317"/>
  <c r="K317"/>
  <c r="P316"/>
  <c r="R316" s="1"/>
  <c r="P315"/>
  <c r="R315" s="1"/>
  <c r="P314"/>
  <c r="N314"/>
  <c r="R314" s="1"/>
  <c r="R313"/>
  <c r="P313"/>
  <c r="P312"/>
  <c r="N312"/>
  <c r="R312" s="1"/>
  <c r="P311"/>
  <c r="L311"/>
  <c r="P310"/>
  <c r="L310"/>
  <c r="R310" s="1"/>
  <c r="P309"/>
  <c r="L309"/>
  <c r="R309" s="1"/>
  <c r="P308"/>
  <c r="N308"/>
  <c r="R308" s="1"/>
  <c r="P307"/>
  <c r="N307"/>
  <c r="U306"/>
  <c r="V303" s="1"/>
  <c r="V305" s="1"/>
  <c r="P306"/>
  <c r="N306"/>
  <c r="R306" s="1"/>
  <c r="P305"/>
  <c r="R305" s="1"/>
  <c r="P304"/>
  <c r="R304" s="1"/>
  <c r="P303"/>
  <c r="L303"/>
  <c r="R303" s="1"/>
  <c r="P302"/>
  <c r="R302" s="1"/>
  <c r="P301"/>
  <c r="R301" s="1"/>
  <c r="R300"/>
  <c r="P300"/>
  <c r="P299"/>
  <c r="R299" s="1"/>
  <c r="U298"/>
  <c r="T298"/>
  <c r="T299" s="1"/>
  <c r="U300" s="1"/>
  <c r="P298"/>
  <c r="R298" s="1"/>
  <c r="P297"/>
  <c r="R297" s="1"/>
  <c r="P296"/>
  <c r="N296"/>
  <c r="L296"/>
  <c r="R296" s="1"/>
  <c r="R295"/>
  <c r="P295"/>
  <c r="T294"/>
  <c r="U295" s="1"/>
  <c r="P294"/>
  <c r="N294"/>
  <c r="N317" s="1"/>
  <c r="L294"/>
  <c r="R294" s="1"/>
  <c r="U293"/>
  <c r="T293"/>
  <c r="P293"/>
  <c r="L293"/>
  <c r="R292"/>
  <c r="P292"/>
  <c r="R291"/>
  <c r="P291"/>
  <c r="R290"/>
  <c r="P290"/>
  <c r="R289"/>
  <c r="P289"/>
  <c r="P288"/>
  <c r="L288"/>
  <c r="R288" s="1"/>
  <c r="L287"/>
  <c r="R287" s="1"/>
  <c r="Q286"/>
  <c r="Q317" s="1"/>
  <c r="P286"/>
  <c r="P285"/>
  <c r="L285"/>
  <c r="R285" s="1"/>
  <c r="L284"/>
  <c r="R284" s="1"/>
  <c r="L283"/>
  <c r="Q277"/>
  <c r="O277"/>
  <c r="O279" s="1"/>
  <c r="M277"/>
  <c r="K277"/>
  <c r="P276"/>
  <c r="R276" s="1"/>
  <c r="P275"/>
  <c r="R275" s="1"/>
  <c r="P274"/>
  <c r="N274"/>
  <c r="R273"/>
  <c r="P273"/>
  <c r="P272"/>
  <c r="N272"/>
  <c r="R272" s="1"/>
  <c r="P271"/>
  <c r="L271"/>
  <c r="R271" s="1"/>
  <c r="P270"/>
  <c r="L270"/>
  <c r="R270" s="1"/>
  <c r="P269"/>
  <c r="L269"/>
  <c r="P268"/>
  <c r="N268"/>
  <c r="R268" s="1"/>
  <c r="P267"/>
  <c r="N267"/>
  <c r="R267" s="1"/>
  <c r="U266"/>
  <c r="V263" s="1"/>
  <c r="P266"/>
  <c r="N266"/>
  <c r="V265"/>
  <c r="P265"/>
  <c r="R265" s="1"/>
  <c r="P264"/>
  <c r="R264" s="1"/>
  <c r="P263"/>
  <c r="L263"/>
  <c r="R263" s="1"/>
  <c r="P262"/>
  <c r="R262" s="1"/>
  <c r="P261"/>
  <c r="R261" s="1"/>
  <c r="R260"/>
  <c r="P260"/>
  <c r="T259"/>
  <c r="U260" s="1"/>
  <c r="P259"/>
  <c r="R259" s="1"/>
  <c r="U258"/>
  <c r="T258"/>
  <c r="P258"/>
  <c r="R258" s="1"/>
  <c r="P257"/>
  <c r="R257" s="1"/>
  <c r="P256"/>
  <c r="N256"/>
  <c r="L256"/>
  <c r="R256" s="1"/>
  <c r="R255"/>
  <c r="P255"/>
  <c r="P254"/>
  <c r="N254"/>
  <c r="L254"/>
  <c r="R254" s="1"/>
  <c r="U253"/>
  <c r="T253"/>
  <c r="T254" s="1"/>
  <c r="U255" s="1"/>
  <c r="P253"/>
  <c r="L253"/>
  <c r="R253" s="1"/>
  <c r="R252"/>
  <c r="P252"/>
  <c r="R251"/>
  <c r="P251"/>
  <c r="R250"/>
  <c r="P250"/>
  <c r="R249"/>
  <c r="P249"/>
  <c r="P248"/>
  <c r="L248"/>
  <c r="R248" s="1"/>
  <c r="L247"/>
  <c r="R246"/>
  <c r="P246"/>
  <c r="P245"/>
  <c r="P277" s="1"/>
  <c r="L245"/>
  <c r="R245" s="1"/>
  <c r="L244"/>
  <c r="R244" s="1"/>
  <c r="L243"/>
  <c r="Q236"/>
  <c r="M236"/>
  <c r="K236"/>
  <c r="P235"/>
  <c r="R235" s="1"/>
  <c r="P234"/>
  <c r="R234" s="1"/>
  <c r="P233"/>
  <c r="O233"/>
  <c r="N233"/>
  <c r="R233" s="1"/>
  <c r="P232"/>
  <c r="R232" s="1"/>
  <c r="O232"/>
  <c r="P231"/>
  <c r="N231"/>
  <c r="R231" s="1"/>
  <c r="P230"/>
  <c r="L230"/>
  <c r="R230" s="1"/>
  <c r="O229"/>
  <c r="P229" s="1"/>
  <c r="R229" s="1"/>
  <c r="L229"/>
  <c r="P228"/>
  <c r="L228"/>
  <c r="R228" s="1"/>
  <c r="P227"/>
  <c r="N227"/>
  <c r="R227" s="1"/>
  <c r="P226"/>
  <c r="N226"/>
  <c r="R226" s="1"/>
  <c r="U225"/>
  <c r="P225"/>
  <c r="N225"/>
  <c r="R225" s="1"/>
  <c r="R224"/>
  <c r="P224"/>
  <c r="R223"/>
  <c r="P223"/>
  <c r="V222"/>
  <c r="V224" s="1"/>
  <c r="P222"/>
  <c r="L222"/>
  <c r="R222" s="1"/>
  <c r="R221"/>
  <c r="P221"/>
  <c r="R220"/>
  <c r="P220"/>
  <c r="P219"/>
  <c r="R219" s="1"/>
  <c r="R218"/>
  <c r="P218"/>
  <c r="U217"/>
  <c r="T217" s="1"/>
  <c r="T218" s="1"/>
  <c r="U219" s="1"/>
  <c r="R217"/>
  <c r="P217"/>
  <c r="R216"/>
  <c r="O216"/>
  <c r="P216" s="1"/>
  <c r="P215"/>
  <c r="N215"/>
  <c r="L215"/>
  <c r="R215" s="1"/>
  <c r="R214"/>
  <c r="P214"/>
  <c r="P213"/>
  <c r="N213"/>
  <c r="L213"/>
  <c r="R213" s="1"/>
  <c r="U212"/>
  <c r="T212"/>
  <c r="T213" s="1"/>
  <c r="U214" s="1"/>
  <c r="P212"/>
  <c r="L212"/>
  <c r="R212" s="1"/>
  <c r="R211"/>
  <c r="P211"/>
  <c r="R210"/>
  <c r="P210"/>
  <c r="R209"/>
  <c r="P209"/>
  <c r="R208"/>
  <c r="P208"/>
  <c r="P207"/>
  <c r="L207"/>
  <c r="R207" s="1"/>
  <c r="L206"/>
  <c r="R206" s="1"/>
  <c r="P205"/>
  <c r="R205" s="1"/>
  <c r="O205"/>
  <c r="P204"/>
  <c r="P236" s="1"/>
  <c r="L204"/>
  <c r="R204" s="1"/>
  <c r="L203"/>
  <c r="R203" s="1"/>
  <c r="L202"/>
  <c r="Q194"/>
  <c r="O194"/>
  <c r="M194"/>
  <c r="K194"/>
  <c r="R193"/>
  <c r="P193"/>
  <c r="R192"/>
  <c r="P192"/>
  <c r="P191"/>
  <c r="N191"/>
  <c r="R191" s="1"/>
  <c r="P190"/>
  <c r="R190" s="1"/>
  <c r="P189"/>
  <c r="N189"/>
  <c r="P188"/>
  <c r="N188"/>
  <c r="R188" s="1"/>
  <c r="L188"/>
  <c r="P187"/>
  <c r="N187"/>
  <c r="R187" s="1"/>
  <c r="L187"/>
  <c r="P186"/>
  <c r="L186"/>
  <c r="R186" s="1"/>
  <c r="P185"/>
  <c r="N185"/>
  <c r="R185" s="1"/>
  <c r="P184"/>
  <c r="N184"/>
  <c r="R184" s="1"/>
  <c r="P183"/>
  <c r="N183"/>
  <c r="P182"/>
  <c r="N182"/>
  <c r="R182" s="1"/>
  <c r="P181"/>
  <c r="R181" s="1"/>
  <c r="P180"/>
  <c r="L180"/>
  <c r="R179"/>
  <c r="P179"/>
  <c r="R178"/>
  <c r="P178"/>
  <c r="P177"/>
  <c r="R177" s="1"/>
  <c r="R176"/>
  <c r="P176"/>
  <c r="U175"/>
  <c r="T175" s="1"/>
  <c r="T176" s="1"/>
  <c r="U177" s="1"/>
  <c r="R175"/>
  <c r="P175"/>
  <c r="R174"/>
  <c r="P174"/>
  <c r="P173"/>
  <c r="N173"/>
  <c r="R173" s="1"/>
  <c r="L173"/>
  <c r="P172"/>
  <c r="R172" s="1"/>
  <c r="P171"/>
  <c r="N171"/>
  <c r="R171" s="1"/>
  <c r="L171"/>
  <c r="U170"/>
  <c r="T170" s="1"/>
  <c r="T171" s="1"/>
  <c r="U172" s="1"/>
  <c r="P170"/>
  <c r="N170"/>
  <c r="R170" s="1"/>
  <c r="L170"/>
  <c r="R169"/>
  <c r="P169"/>
  <c r="R168"/>
  <c r="P168"/>
  <c r="P167"/>
  <c r="N167"/>
  <c r="N194" s="1"/>
  <c r="P166"/>
  <c r="N166"/>
  <c r="R166" s="1"/>
  <c r="P165"/>
  <c r="N165"/>
  <c r="R165" s="1"/>
  <c r="L165"/>
  <c r="N164"/>
  <c r="L164"/>
  <c r="R164" s="1"/>
  <c r="P163"/>
  <c r="R163" s="1"/>
  <c r="P162"/>
  <c r="N162"/>
  <c r="L162"/>
  <c r="R162" s="1"/>
  <c r="L161"/>
  <c r="R161" s="1"/>
  <c r="N160"/>
  <c r="L160"/>
  <c r="R160" s="1"/>
  <c r="Q152"/>
  <c r="O152"/>
  <c r="M152"/>
  <c r="K152"/>
  <c r="P151"/>
  <c r="R151" s="1"/>
  <c r="P150"/>
  <c r="R150" s="1"/>
  <c r="P149"/>
  <c r="N149"/>
  <c r="R148"/>
  <c r="P148"/>
  <c r="P147"/>
  <c r="N147"/>
  <c r="R147" s="1"/>
  <c r="P146"/>
  <c r="L146"/>
  <c r="R146" s="1"/>
  <c r="P145"/>
  <c r="L145"/>
  <c r="R145" s="1"/>
  <c r="P144"/>
  <c r="L144"/>
  <c r="P143"/>
  <c r="N143"/>
  <c r="R143" s="1"/>
  <c r="P142"/>
  <c r="N142"/>
  <c r="R142" s="1"/>
  <c r="P141"/>
  <c r="N141"/>
  <c r="R141" s="1"/>
  <c r="P140"/>
  <c r="R140" s="1"/>
  <c r="P139"/>
  <c r="R139" s="1"/>
  <c r="P138"/>
  <c r="L138"/>
  <c r="R137"/>
  <c r="P137"/>
  <c r="P136"/>
  <c r="R136" s="1"/>
  <c r="R135"/>
  <c r="P135"/>
  <c r="U134"/>
  <c r="T134" s="1"/>
  <c r="T135" s="1"/>
  <c r="U136" s="1"/>
  <c r="R134"/>
  <c r="P134"/>
  <c r="R133"/>
  <c r="P133"/>
  <c r="R132"/>
  <c r="P132"/>
  <c r="P131"/>
  <c r="N131"/>
  <c r="L131"/>
  <c r="R131" s="1"/>
  <c r="R130"/>
  <c r="P130"/>
  <c r="U129"/>
  <c r="T129" s="1"/>
  <c r="T130" s="1"/>
  <c r="U131" s="1"/>
  <c r="P129"/>
  <c r="L129"/>
  <c r="R129" s="1"/>
  <c r="P128"/>
  <c r="R128" s="1"/>
  <c r="P127"/>
  <c r="R127" s="1"/>
  <c r="P126"/>
  <c r="R126" s="1"/>
  <c r="P125"/>
  <c r="R125" s="1"/>
  <c r="P124"/>
  <c r="L124"/>
  <c r="R124" s="1"/>
  <c r="N123"/>
  <c r="L123"/>
  <c r="R123" s="1"/>
  <c r="P122"/>
  <c r="R122" s="1"/>
  <c r="P121"/>
  <c r="P152" s="1"/>
  <c r="N121"/>
  <c r="L121"/>
  <c r="R121" s="1"/>
  <c r="L120"/>
  <c r="R120" s="1"/>
  <c r="L119"/>
  <c r="L152" s="1"/>
  <c r="Q112"/>
  <c r="O112"/>
  <c r="M112"/>
  <c r="K112"/>
  <c r="P111"/>
  <c r="N111"/>
  <c r="R111" s="1"/>
  <c r="P110"/>
  <c r="R110" s="1"/>
  <c r="P109"/>
  <c r="N109"/>
  <c r="R109" s="1"/>
  <c r="P108"/>
  <c r="L108"/>
  <c r="R108" s="1"/>
  <c r="P107"/>
  <c r="L107"/>
  <c r="R107" s="1"/>
  <c r="P106"/>
  <c r="L106"/>
  <c r="R106" s="1"/>
  <c r="P105"/>
  <c r="N105"/>
  <c r="R105" s="1"/>
  <c r="P104"/>
  <c r="N104"/>
  <c r="R104" s="1"/>
  <c r="P103"/>
  <c r="N103"/>
  <c r="R103" s="1"/>
  <c r="R102"/>
  <c r="P102"/>
  <c r="R101"/>
  <c r="P101"/>
  <c r="P100"/>
  <c r="N100"/>
  <c r="R100" s="1"/>
  <c r="L100"/>
  <c r="R99"/>
  <c r="P99"/>
  <c r="P98"/>
  <c r="R98" s="1"/>
  <c r="R97"/>
  <c r="P97"/>
  <c r="U96"/>
  <c r="T96" s="1"/>
  <c r="T97" s="1"/>
  <c r="U98" s="1"/>
  <c r="R96"/>
  <c r="P96"/>
  <c r="R95"/>
  <c r="P95"/>
  <c r="R94"/>
  <c r="P94"/>
  <c r="P93"/>
  <c r="N93"/>
  <c r="L93"/>
  <c r="R93" s="1"/>
  <c r="R92"/>
  <c r="P92"/>
  <c r="U91"/>
  <c r="T91" s="1"/>
  <c r="T92" s="1"/>
  <c r="U93" s="1"/>
  <c r="P91"/>
  <c r="N91"/>
  <c r="R91" s="1"/>
  <c r="L91"/>
  <c r="R90"/>
  <c r="P90"/>
  <c r="R89"/>
  <c r="P89"/>
  <c r="R88"/>
  <c r="P88"/>
  <c r="P87"/>
  <c r="N87"/>
  <c r="R87" s="1"/>
  <c r="P86"/>
  <c r="P112" s="1"/>
  <c r="N86"/>
  <c r="L86"/>
  <c r="R86" s="1"/>
  <c r="N85"/>
  <c r="L85"/>
  <c r="R85" s="1"/>
  <c r="R84"/>
  <c r="P84"/>
  <c r="P83"/>
  <c r="N83"/>
  <c r="N112" s="1"/>
  <c r="L83"/>
  <c r="R82"/>
  <c r="L82"/>
  <c r="R81"/>
  <c r="L81"/>
  <c r="Q74"/>
  <c r="O74"/>
  <c r="M74"/>
  <c r="K74"/>
  <c r="P73"/>
  <c r="N73"/>
  <c r="R73" s="1"/>
  <c r="R72"/>
  <c r="P72"/>
  <c r="P71"/>
  <c r="N71"/>
  <c r="R71" s="1"/>
  <c r="P70"/>
  <c r="L70"/>
  <c r="R70" s="1"/>
  <c r="P69"/>
  <c r="L69"/>
  <c r="R69" s="1"/>
  <c r="P68"/>
  <c r="L68"/>
  <c r="R68" s="1"/>
  <c r="P67"/>
  <c r="N67"/>
  <c r="R67" s="1"/>
  <c r="P66"/>
  <c r="N66"/>
  <c r="R66" s="1"/>
  <c r="R65"/>
  <c r="N65"/>
  <c r="R64"/>
  <c r="P64"/>
  <c r="R63"/>
  <c r="P63"/>
  <c r="P62"/>
  <c r="N62"/>
  <c r="R62" s="1"/>
  <c r="L62"/>
  <c r="R61"/>
  <c r="P61"/>
  <c r="P60"/>
  <c r="R60" s="1"/>
  <c r="R59"/>
  <c r="P59"/>
  <c r="U58"/>
  <c r="T58" s="1"/>
  <c r="T59" s="1"/>
  <c r="U60" s="1"/>
  <c r="R58"/>
  <c r="P58"/>
  <c r="R57"/>
  <c r="P57"/>
  <c r="R56"/>
  <c r="P56"/>
  <c r="P55"/>
  <c r="N55"/>
  <c r="L55"/>
  <c r="R55" s="1"/>
  <c r="R54"/>
  <c r="P54"/>
  <c r="U53"/>
  <c r="T53" s="1"/>
  <c r="T54" s="1"/>
  <c r="U55" s="1"/>
  <c r="P53"/>
  <c r="N53"/>
  <c r="R53" s="1"/>
  <c r="L53"/>
  <c r="R52"/>
  <c r="P52"/>
  <c r="R51"/>
  <c r="P51"/>
  <c r="R50"/>
  <c r="P50"/>
  <c r="P49"/>
  <c r="N49"/>
  <c r="R49" s="1"/>
  <c r="P48"/>
  <c r="N48"/>
  <c r="L48"/>
  <c r="R48" s="1"/>
  <c r="N47"/>
  <c r="L47"/>
  <c r="R47" s="1"/>
  <c r="R46"/>
  <c r="P46"/>
  <c r="P45"/>
  <c r="P74" s="1"/>
  <c r="N45"/>
  <c r="N74" s="1"/>
  <c r="L45"/>
  <c r="R44"/>
  <c r="L44"/>
  <c r="R43"/>
  <c r="L43"/>
  <c r="L74" s="1"/>
  <c r="Q36"/>
  <c r="O36"/>
  <c r="M36"/>
  <c r="K36"/>
  <c r="P35"/>
  <c r="N35"/>
  <c r="R35" s="1"/>
  <c r="R34"/>
  <c r="P34"/>
  <c r="P33"/>
  <c r="N33"/>
  <c r="R33" s="1"/>
  <c r="P32"/>
  <c r="L32"/>
  <c r="R32" s="1"/>
  <c r="P31"/>
  <c r="L31"/>
  <c r="R31" s="1"/>
  <c r="P30"/>
  <c r="L30"/>
  <c r="R30" s="1"/>
  <c r="P29"/>
  <c r="N29"/>
  <c r="R29" s="1"/>
  <c r="P28"/>
  <c r="N28"/>
  <c r="R28" s="1"/>
  <c r="R27"/>
  <c r="N27"/>
  <c r="R26"/>
  <c r="P26"/>
  <c r="R25"/>
  <c r="P25"/>
  <c r="P24"/>
  <c r="N24"/>
  <c r="R24" s="1"/>
  <c r="L24"/>
  <c r="R23"/>
  <c r="P23"/>
  <c r="P22"/>
  <c r="R22" s="1"/>
  <c r="R21"/>
  <c r="P21"/>
  <c r="U20"/>
  <c r="T20" s="1"/>
  <c r="T21" s="1"/>
  <c r="U22" s="1"/>
  <c r="R20"/>
  <c r="P20"/>
  <c r="R19"/>
  <c r="P19"/>
  <c r="R18"/>
  <c r="P18"/>
  <c r="P17"/>
  <c r="N17"/>
  <c r="L17"/>
  <c r="R17" s="1"/>
  <c r="R16"/>
  <c r="P16"/>
  <c r="U15"/>
  <c r="T15" s="1"/>
  <c r="T16" s="1"/>
  <c r="U17" s="1"/>
  <c r="P15"/>
  <c r="N15"/>
  <c r="R15" s="1"/>
  <c r="L15"/>
  <c r="R14"/>
  <c r="P14"/>
  <c r="R13"/>
  <c r="P13"/>
  <c r="R12"/>
  <c r="P12"/>
  <c r="P11"/>
  <c r="N11"/>
  <c r="R11" s="1"/>
  <c r="P10"/>
  <c r="N10"/>
  <c r="L10"/>
  <c r="R10" s="1"/>
  <c r="N9"/>
  <c r="L9"/>
  <c r="R9" s="1"/>
  <c r="R8"/>
  <c r="P8"/>
  <c r="P7"/>
  <c r="P36" s="1"/>
  <c r="N7"/>
  <c r="N36" s="1"/>
  <c r="L7"/>
  <c r="R6"/>
  <c r="L6"/>
  <c r="R5"/>
  <c r="L5"/>
  <c r="L36" s="1"/>
  <c r="Q41" i="2"/>
  <c r="O41"/>
  <c r="O42" s="1"/>
  <c r="M41"/>
  <c r="K41"/>
  <c r="P40"/>
  <c r="N40"/>
  <c r="P39"/>
  <c r="R39" s="1"/>
  <c r="P38"/>
  <c r="N38"/>
  <c r="P37"/>
  <c r="N37"/>
  <c r="P36"/>
  <c r="N36"/>
  <c r="P35"/>
  <c r="N35"/>
  <c r="P34"/>
  <c r="N34"/>
  <c r="P33"/>
  <c r="L33"/>
  <c r="P32"/>
  <c r="N32"/>
  <c r="L32"/>
  <c r="R32" s="1"/>
  <c r="P31"/>
  <c r="N31"/>
  <c r="L31"/>
  <c r="P30"/>
  <c r="N30"/>
  <c r="P29"/>
  <c r="N29"/>
  <c r="P28"/>
  <c r="N28"/>
  <c r="P27"/>
  <c r="N27"/>
  <c r="P26"/>
  <c r="N26"/>
  <c r="P25"/>
  <c r="N25"/>
  <c r="L25"/>
  <c r="P24"/>
  <c r="N24"/>
  <c r="R24" s="1"/>
  <c r="P23"/>
  <c r="N23"/>
  <c r="P22"/>
  <c r="N22"/>
  <c r="R22" s="1"/>
  <c r="P21"/>
  <c r="N21"/>
  <c r="U20"/>
  <c r="T20" s="1"/>
  <c r="T21" s="1"/>
  <c r="U22" s="1"/>
  <c r="P20"/>
  <c r="N20"/>
  <c r="P19"/>
  <c r="N19"/>
  <c r="P18"/>
  <c r="N18"/>
  <c r="L18"/>
  <c r="P17"/>
  <c r="N17"/>
  <c r="R17" s="1"/>
  <c r="P16"/>
  <c r="N16"/>
  <c r="L16"/>
  <c r="U15"/>
  <c r="T15" s="1"/>
  <c r="T16" s="1"/>
  <c r="U17" s="1"/>
  <c r="P15"/>
  <c r="N15"/>
  <c r="L15"/>
  <c r="P14"/>
  <c r="N14"/>
  <c r="P13"/>
  <c r="N13"/>
  <c r="P12"/>
  <c r="N12"/>
  <c r="P11"/>
  <c r="N11"/>
  <c r="P10"/>
  <c r="N10"/>
  <c r="L10"/>
  <c r="N9"/>
  <c r="L9"/>
  <c r="P8"/>
  <c r="N8"/>
  <c r="U7"/>
  <c r="P7"/>
  <c r="L7"/>
  <c r="L6"/>
  <c r="R6" s="1"/>
  <c r="L5"/>
  <c r="R5" s="1"/>
  <c r="Q42" i="1"/>
  <c r="O42"/>
  <c r="O43" s="1"/>
  <c r="M42"/>
  <c r="M44" s="1"/>
  <c r="K42"/>
  <c r="U41"/>
  <c r="T41" s="1"/>
  <c r="T42" s="1"/>
  <c r="U43" s="1"/>
  <c r="W43" s="1"/>
  <c r="P41"/>
  <c r="R41" s="1"/>
  <c r="P40"/>
  <c r="R40" s="1"/>
  <c r="P39"/>
  <c r="R39" s="1"/>
  <c r="P38"/>
  <c r="N38"/>
  <c r="P37"/>
  <c r="N37"/>
  <c r="U36"/>
  <c r="T36" s="1"/>
  <c r="T37" s="1"/>
  <c r="U38" s="1"/>
  <c r="P36"/>
  <c r="R36" s="1"/>
  <c r="P35"/>
  <c r="N35"/>
  <c r="P34"/>
  <c r="R34" s="1"/>
  <c r="P33"/>
  <c r="N33"/>
  <c r="R33" s="1"/>
  <c r="L33"/>
  <c r="P32"/>
  <c r="N32"/>
  <c r="L32"/>
  <c r="R32" s="1"/>
  <c r="U31"/>
  <c r="T31"/>
  <c r="T32" s="1"/>
  <c r="U33" s="1"/>
  <c r="W33" s="1"/>
  <c r="P31"/>
  <c r="N31"/>
  <c r="L31"/>
  <c r="P30"/>
  <c r="N30"/>
  <c r="P29"/>
  <c r="N29"/>
  <c r="P28"/>
  <c r="N28"/>
  <c r="P27"/>
  <c r="N27"/>
  <c r="U26"/>
  <c r="T26" s="1"/>
  <c r="T27" s="1"/>
  <c r="U28" s="1"/>
  <c r="W28" s="1"/>
  <c r="P26"/>
  <c r="N26"/>
  <c r="R26" s="1"/>
  <c r="P25"/>
  <c r="N25"/>
  <c r="L25"/>
  <c r="P24"/>
  <c r="N24"/>
  <c r="P23"/>
  <c r="N23"/>
  <c r="P22"/>
  <c r="R22" s="1"/>
  <c r="U21"/>
  <c r="T21"/>
  <c r="T22" s="1"/>
  <c r="U23" s="1"/>
  <c r="P21"/>
  <c r="N21"/>
  <c r="R21" s="1"/>
  <c r="P20"/>
  <c r="N20"/>
  <c r="R20" s="1"/>
  <c r="P19"/>
  <c r="N19"/>
  <c r="R19" s="1"/>
  <c r="P18"/>
  <c r="N18"/>
  <c r="R18" s="1"/>
  <c r="L18"/>
  <c r="P17"/>
  <c r="N17"/>
  <c r="U16"/>
  <c r="T16" s="1"/>
  <c r="T17" s="1"/>
  <c r="U18" s="1"/>
  <c r="W18" s="1"/>
  <c r="P16"/>
  <c r="N16"/>
  <c r="R16" s="1"/>
  <c r="L16"/>
  <c r="P15"/>
  <c r="N15"/>
  <c r="L15"/>
  <c r="P14"/>
  <c r="N14"/>
  <c r="R14" s="1"/>
  <c r="P13"/>
  <c r="N13"/>
  <c r="R13" s="1"/>
  <c r="P12"/>
  <c r="R12" s="1"/>
  <c r="U11"/>
  <c r="T11" s="1"/>
  <c r="T12" s="1"/>
  <c r="U13" s="1"/>
  <c r="W13" s="1"/>
  <c r="P11"/>
  <c r="R11" s="1"/>
  <c r="P10"/>
  <c r="N10"/>
  <c r="L10"/>
  <c r="N9"/>
  <c r="L9"/>
  <c r="P8"/>
  <c r="N8"/>
  <c r="P7"/>
  <c r="L7"/>
  <c r="U6"/>
  <c r="T6" s="1"/>
  <c r="T7" s="1"/>
  <c r="U8" s="1"/>
  <c r="L6"/>
  <c r="R6" s="1"/>
  <c r="L5"/>
  <c r="T3"/>
  <c r="Q42" i="4"/>
  <c r="O42"/>
  <c r="O43" s="1"/>
  <c r="M42"/>
  <c r="M44" s="1"/>
  <c r="K42"/>
  <c r="U41"/>
  <c r="T41" s="1"/>
  <c r="T42" s="1"/>
  <c r="U43" s="1"/>
  <c r="W43" s="1"/>
  <c r="P41"/>
  <c r="R41" s="1"/>
  <c r="P40"/>
  <c r="R40" s="1"/>
  <c r="P39"/>
  <c r="R39" s="1"/>
  <c r="P38"/>
  <c r="N38"/>
  <c r="P37"/>
  <c r="N37"/>
  <c r="U36"/>
  <c r="T36"/>
  <c r="T37" s="1"/>
  <c r="U38" s="1"/>
  <c r="P36"/>
  <c r="R36" s="1"/>
  <c r="P35"/>
  <c r="N35"/>
  <c r="P34"/>
  <c r="R34" s="1"/>
  <c r="P33"/>
  <c r="N33"/>
  <c r="L33"/>
  <c r="P32"/>
  <c r="N32"/>
  <c r="L32"/>
  <c r="U31"/>
  <c r="T31" s="1"/>
  <c r="T32" s="1"/>
  <c r="U33" s="1"/>
  <c r="W33" s="1"/>
  <c r="P31"/>
  <c r="N31"/>
  <c r="L31"/>
  <c r="P30"/>
  <c r="N30"/>
  <c r="P29"/>
  <c r="N29"/>
  <c r="P28"/>
  <c r="N28"/>
  <c r="P27"/>
  <c r="N27"/>
  <c r="U26"/>
  <c r="T26" s="1"/>
  <c r="T27" s="1"/>
  <c r="U28" s="1"/>
  <c r="W28" s="1"/>
  <c r="P26"/>
  <c r="N26"/>
  <c r="P25"/>
  <c r="N25"/>
  <c r="L25"/>
  <c r="R25" s="1"/>
  <c r="P24"/>
  <c r="N24"/>
  <c r="P23"/>
  <c r="N23"/>
  <c r="P22"/>
  <c r="R22" s="1"/>
  <c r="U21"/>
  <c r="T21" s="1"/>
  <c r="T22" s="1"/>
  <c r="U23" s="1"/>
  <c r="P21"/>
  <c r="N21"/>
  <c r="P20"/>
  <c r="N20"/>
  <c r="P19"/>
  <c r="N19"/>
  <c r="P18"/>
  <c r="N18"/>
  <c r="L18"/>
  <c r="P17"/>
  <c r="N17"/>
  <c r="U16"/>
  <c r="T16" s="1"/>
  <c r="T17" s="1"/>
  <c r="U18" s="1"/>
  <c r="W18" s="1"/>
  <c r="P16"/>
  <c r="N16"/>
  <c r="L16"/>
  <c r="P15"/>
  <c r="N15"/>
  <c r="R15" s="1"/>
  <c r="L15"/>
  <c r="P14"/>
  <c r="N14"/>
  <c r="P13"/>
  <c r="N13"/>
  <c r="P12"/>
  <c r="R12" s="1"/>
  <c r="U11"/>
  <c r="T11"/>
  <c r="T12" s="1"/>
  <c r="U13" s="1"/>
  <c r="W13" s="1"/>
  <c r="P11"/>
  <c r="R11" s="1"/>
  <c r="P10"/>
  <c r="N10"/>
  <c r="L10"/>
  <c r="N9"/>
  <c r="L9"/>
  <c r="P8"/>
  <c r="N8"/>
  <c r="P7"/>
  <c r="L7"/>
  <c r="U6"/>
  <c r="T6" s="1"/>
  <c r="T7" s="1"/>
  <c r="U8" s="1"/>
  <c r="R6"/>
  <c r="L6"/>
  <c r="R5"/>
  <c r="L5"/>
  <c r="T3"/>
  <c r="R45" i="6" l="1"/>
  <c r="R32" i="5"/>
  <c r="R25"/>
  <c r="R9"/>
  <c r="R19"/>
  <c r="R35"/>
  <c r="R23"/>
  <c r="R30"/>
  <c r="P43"/>
  <c r="P44" s="1"/>
  <c r="R13"/>
  <c r="R14"/>
  <c r="R7"/>
  <c r="R44" s="1"/>
  <c r="R15"/>
  <c r="R17"/>
  <c r="R27"/>
  <c r="R28"/>
  <c r="R37"/>
  <c r="R38"/>
  <c r="R20"/>
  <c r="R31"/>
  <c r="R8"/>
  <c r="R37" i="4"/>
  <c r="R38"/>
  <c r="R17"/>
  <c r="R7"/>
  <c r="R23"/>
  <c r="R24"/>
  <c r="R27"/>
  <c r="R28"/>
  <c r="R29"/>
  <c r="R30"/>
  <c r="R31"/>
  <c r="N42"/>
  <c r="R9"/>
  <c r="R10"/>
  <c r="R7" i="2"/>
  <c r="R11"/>
  <c r="R12"/>
  <c r="R13"/>
  <c r="R15"/>
  <c r="R40"/>
  <c r="R8"/>
  <c r="R9"/>
  <c r="R10"/>
  <c r="P41"/>
  <c r="P42" s="1"/>
  <c r="R16"/>
  <c r="R18"/>
  <c r="R20"/>
  <c r="R25"/>
  <c r="R26"/>
  <c r="R27"/>
  <c r="R29"/>
  <c r="R30"/>
  <c r="R31"/>
  <c r="R33"/>
  <c r="R35"/>
  <c r="R36"/>
  <c r="R37"/>
  <c r="L42" i="1"/>
  <c r="P42"/>
  <c r="P43" s="1"/>
  <c r="R35"/>
  <c r="R37"/>
  <c r="L42" i="4"/>
  <c r="P42"/>
  <c r="P43" s="1"/>
  <c r="R13"/>
  <c r="R14"/>
  <c r="R16"/>
  <c r="R18"/>
  <c r="R19"/>
  <c r="R20"/>
  <c r="R21"/>
  <c r="R26"/>
  <c r="R32"/>
  <c r="R33"/>
  <c r="R35"/>
  <c r="R36" i="3"/>
  <c r="R38" s="1"/>
  <c r="R74"/>
  <c r="R76" s="1"/>
  <c r="L317"/>
  <c r="R317" s="1"/>
  <c r="R283"/>
  <c r="L236"/>
  <c r="R202"/>
  <c r="L277"/>
  <c r="R277" s="1"/>
  <c r="R279" s="1"/>
  <c r="R243"/>
  <c r="R7"/>
  <c r="R45"/>
  <c r="R83"/>
  <c r="L112"/>
  <c r="R112" s="1"/>
  <c r="R114" s="1"/>
  <c r="R152"/>
  <c r="R167"/>
  <c r="L194"/>
  <c r="R194" s="1"/>
  <c r="R196" s="1"/>
  <c r="P194"/>
  <c r="O236"/>
  <c r="O238" s="1"/>
  <c r="R410"/>
  <c r="R460"/>
  <c r="L488"/>
  <c r="R488" s="1"/>
  <c r="R490" s="1"/>
  <c r="R119"/>
  <c r="N152"/>
  <c r="R138"/>
  <c r="R144"/>
  <c r="R149"/>
  <c r="R180"/>
  <c r="R183"/>
  <c r="R189"/>
  <c r="N236"/>
  <c r="N277"/>
  <c r="R266"/>
  <c r="R269"/>
  <c r="R274"/>
  <c r="P317"/>
  <c r="R286"/>
  <c r="R293"/>
  <c r="R307"/>
  <c r="R311"/>
  <c r="R334"/>
  <c r="R343"/>
  <c r="R346"/>
  <c r="R351"/>
  <c r="L358"/>
  <c r="R358" s="1"/>
  <c r="R360" s="1"/>
  <c r="R366"/>
  <c r="R372"/>
  <c r="R376"/>
  <c r="R377"/>
  <c r="R389"/>
  <c r="R392"/>
  <c r="R395"/>
  <c r="R399"/>
  <c r="L402"/>
  <c r="P402"/>
  <c r="R412"/>
  <c r="R417"/>
  <c r="R428"/>
  <c r="R430"/>
  <c r="R434"/>
  <c r="R439"/>
  <c r="R443"/>
  <c r="R461"/>
  <c r="R466"/>
  <c r="R468"/>
  <c r="R470"/>
  <c r="R475"/>
  <c r="R481"/>
  <c r="R485"/>
  <c r="L532"/>
  <c r="P532"/>
  <c r="P533" s="1"/>
  <c r="N532"/>
  <c r="R507"/>
  <c r="R509"/>
  <c r="R514"/>
  <c r="R518"/>
  <c r="R520"/>
  <c r="R525"/>
  <c r="R498"/>
  <c r="L41" i="2"/>
  <c r="N41"/>
  <c r="R14"/>
  <c r="R19"/>
  <c r="R21"/>
  <c r="R23"/>
  <c r="R28"/>
  <c r="R34"/>
  <c r="R38"/>
  <c r="R5" i="1"/>
  <c r="R7"/>
  <c r="N42"/>
  <c r="R9"/>
  <c r="R10"/>
  <c r="R15"/>
  <c r="R17"/>
  <c r="R23"/>
  <c r="R24"/>
  <c r="R25"/>
  <c r="R27"/>
  <c r="R28"/>
  <c r="R29"/>
  <c r="R30"/>
  <c r="R31"/>
  <c r="R38"/>
  <c r="R42"/>
  <c r="R44" s="1"/>
  <c r="R8"/>
  <c r="R8" i="4"/>
  <c r="R43" i="5" l="1"/>
  <c r="R45" s="1"/>
  <c r="R42" i="4"/>
  <c r="R41" i="2"/>
  <c r="R43" s="1"/>
  <c r="R154" i="3"/>
  <c r="R236"/>
  <c r="R238" s="1"/>
  <c r="R319"/>
  <c r="R532"/>
  <c r="R534" s="1"/>
  <c r="R402"/>
  <c r="R404" s="1"/>
</calcChain>
</file>

<file path=xl/sharedStrings.xml><?xml version="1.0" encoding="utf-8"?>
<sst xmlns="http://schemas.openxmlformats.org/spreadsheetml/2006/main" count="4737" uniqueCount="271">
  <si>
    <t>1D47</t>
  </si>
  <si>
    <t>1D10</t>
  </si>
  <si>
    <t>1D24</t>
  </si>
  <si>
    <t>Chofer Abon</t>
  </si>
  <si>
    <t>0D50</t>
  </si>
  <si>
    <t>1D56</t>
  </si>
  <si>
    <t>1P30</t>
  </si>
  <si>
    <t>Octavio Juarez Poma</t>
  </si>
  <si>
    <t>1D86</t>
  </si>
  <si>
    <t>2D03</t>
  </si>
  <si>
    <t>2D02</t>
  </si>
  <si>
    <t>Cod</t>
  </si>
  <si>
    <t>Armando Junco</t>
  </si>
  <si>
    <t>2D11</t>
  </si>
  <si>
    <t>2D20</t>
  </si>
  <si>
    <t>2D21</t>
  </si>
  <si>
    <t>Juan Condor</t>
  </si>
  <si>
    <t>2D22</t>
  </si>
  <si>
    <t>1D99</t>
  </si>
  <si>
    <t>2D13</t>
  </si>
  <si>
    <t>Emanuel Laureano</t>
  </si>
  <si>
    <t>2D17</t>
  </si>
  <si>
    <t>Omar Guerrero</t>
  </si>
  <si>
    <t>Total   
Viajes</t>
  </si>
  <si>
    <t>1D98</t>
  </si>
  <si>
    <t>1P97</t>
  </si>
  <si>
    <t>2D15</t>
  </si>
  <si>
    <t>1D81</t>
  </si>
  <si>
    <t>GUILLERMO PAREDES LUQUE</t>
  </si>
  <si>
    <t>TEOFILO CUADROS NOLASCO</t>
  </si>
  <si>
    <t>ANTENOR LEO CAMARA ORIZANO</t>
  </si>
  <si>
    <t>1P88</t>
  </si>
  <si>
    <t>ABEL CANDIOTTI CANO</t>
  </si>
  <si>
    <t>ANDRADE CATALAN HUAMAN</t>
  </si>
  <si>
    <t>WALTER VARGAS HUAMAN</t>
  </si>
  <si>
    <t>MARIO CESAR ALARICO PINEDA</t>
  </si>
  <si>
    <t>2D04</t>
  </si>
  <si>
    <t>WALTER FERNANDO CASTILLO RUBIO</t>
  </si>
  <si>
    <t>DANIEL QUISPE BONIFACIO</t>
  </si>
  <si>
    <t>2D12</t>
  </si>
  <si>
    <t>NELSON JESUS TORRES ARBIETO</t>
  </si>
  <si>
    <t>2D14</t>
  </si>
  <si>
    <t>RUFINO CHAMBI HERRERA</t>
  </si>
  <si>
    <t>2D18</t>
  </si>
  <si>
    <t>2D19</t>
  </si>
  <si>
    <t>JAIME LIZARBE CARDENAS</t>
  </si>
  <si>
    <t>PEDRO ABRAHAM RAFAELLE QUIROZ</t>
  </si>
  <si>
    <t>JUAN CARLOS ASMAT SIGUEñAS</t>
  </si>
  <si>
    <t>JULIO ALBERTO OLIVERA APAZA</t>
  </si>
  <si>
    <t>CATALAN  HUAMANI ANDRADE</t>
  </si>
  <si>
    <t>ALARICO  PINEDA MARIO CESAR</t>
  </si>
  <si>
    <t>QUISPE  BONIFACIO DANIEL</t>
  </si>
  <si>
    <t>GUERRERO CENTURION OMAR IVAN</t>
  </si>
  <si>
    <t>MAMANI  MAMANI  PERCY RUBEN</t>
  </si>
  <si>
    <t>1P98</t>
  </si>
  <si>
    <t>ROLANDO JESUS PACHECO SOLIER</t>
  </si>
  <si>
    <t>NEON SAMUEL BOBBIO AGUILAR</t>
  </si>
  <si>
    <t>DIAZ BILBAO JUAN CARLOS</t>
  </si>
  <si>
    <t>T o l v a s</t>
  </si>
  <si>
    <t>Plataformas</t>
  </si>
  <si>
    <t>TOTAL Bonofica-cion</t>
  </si>
  <si>
    <t>0P10</t>
  </si>
  <si>
    <t>Alberto Carpio</t>
  </si>
  <si>
    <t>2D24</t>
  </si>
  <si>
    <t>2D08</t>
  </si>
  <si>
    <t>DAVID BARROSO LOMOTE</t>
  </si>
  <si>
    <t>JUAN C DIAZ BILBAO</t>
  </si>
  <si>
    <t>1P99</t>
  </si>
  <si>
    <t>Juan Uriarte</t>
  </si>
  <si>
    <t>2P01</t>
  </si>
  <si>
    <t>FAUSTINO LAURA LLAMOCURI</t>
  </si>
  <si>
    <t>JULIO CARDENAS SALDAÑA</t>
  </si>
  <si>
    <t>MIGUEL ANGEL VILLANUEVA ROBLES</t>
  </si>
  <si>
    <t>Percy Mamani</t>
  </si>
  <si>
    <t>CHAMBI HERRERA RUFINO</t>
  </si>
  <si>
    <t>2D26</t>
  </si>
  <si>
    <t>SAMUEL RAMOS FLORES</t>
  </si>
  <si>
    <t xml:space="preserve">XXXXXX   Sem </t>
  </si>
  <si>
    <t xml:space="preserve">MIXERCON   Sem 52  </t>
  </si>
  <si>
    <r>
      <t xml:space="preserve">   Memorandum - Sem 001/2018</t>
    </r>
    <r>
      <rPr>
        <sz val="10"/>
        <rFont val="Draft 15cpi"/>
        <family val="3"/>
      </rPr>
      <t xml:space="preserve">   -   Fecha: 09/01/2018           ***     </t>
    </r>
    <r>
      <rPr>
        <b/>
        <sz val="10"/>
        <rFont val="Draft 15cpi"/>
        <family val="3"/>
      </rPr>
      <t xml:space="preserve">A N E X O  </t>
    </r>
    <r>
      <rPr>
        <sz val="10"/>
        <rFont val="Draft 15cpi"/>
        <family val="3"/>
      </rPr>
      <t>***</t>
    </r>
  </si>
  <si>
    <t>Almacenes RANSA  Sem 01</t>
  </si>
  <si>
    <t>Reintgr Memo 001</t>
  </si>
  <si>
    <t>Descuento x 5ta Categ   Sem-01</t>
  </si>
  <si>
    <r>
      <t xml:space="preserve">   Memorandum - Sem 002/2018</t>
    </r>
    <r>
      <rPr>
        <sz val="10"/>
        <rFont val="Draft 15cpi"/>
        <family val="3"/>
      </rPr>
      <t xml:space="preserve">   -   Fecha: 16/01/2018           ***     </t>
    </r>
    <r>
      <rPr>
        <b/>
        <sz val="10"/>
        <rFont val="Draft 15cpi"/>
        <family val="3"/>
      </rPr>
      <t xml:space="preserve">A N E X O  </t>
    </r>
    <r>
      <rPr>
        <sz val="10"/>
        <rFont val="Draft 15cpi"/>
        <family val="3"/>
      </rPr>
      <t>***</t>
    </r>
  </si>
  <si>
    <t>Fuera de Planilla</t>
  </si>
  <si>
    <r>
      <t xml:space="preserve">   Memorandum - Sem 003/2018</t>
    </r>
    <r>
      <rPr>
        <sz val="10"/>
        <rFont val="Draft 15cpi"/>
        <family val="3"/>
      </rPr>
      <t xml:space="preserve">   -   Fecha: 24/01/2018           ***     </t>
    </r>
    <r>
      <rPr>
        <b/>
        <sz val="10"/>
        <rFont val="Draft 15cpi"/>
        <family val="3"/>
      </rPr>
      <t xml:space="preserve">A N E X O  </t>
    </r>
    <r>
      <rPr>
        <sz val="10"/>
        <rFont val="Draft 15cpi"/>
        <family val="3"/>
      </rPr>
      <t>***</t>
    </r>
  </si>
  <si>
    <t>Almacenes RANSA  Sem 03</t>
  </si>
  <si>
    <r>
      <t xml:space="preserve">   Memorandum - Sem 004/2018</t>
    </r>
    <r>
      <rPr>
        <sz val="10"/>
        <rFont val="Draft 15cpi"/>
        <family val="3"/>
      </rPr>
      <t xml:space="preserve">   -   Fecha: 31/01/2018           ***     </t>
    </r>
    <r>
      <rPr>
        <b/>
        <sz val="10"/>
        <rFont val="Draft 15cpi"/>
        <family val="3"/>
      </rPr>
      <t xml:space="preserve">A N E X O  </t>
    </r>
    <r>
      <rPr>
        <sz val="10"/>
        <rFont val="Draft 15cpi"/>
        <family val="3"/>
      </rPr>
      <t>***</t>
    </r>
  </si>
  <si>
    <t xml:space="preserve">MIXERCON   Sem 03y04  </t>
  </si>
  <si>
    <t>Almacenes RANSA  Sem 04</t>
  </si>
  <si>
    <t>Reintgr Memo 004</t>
  </si>
  <si>
    <t>2P02</t>
  </si>
  <si>
    <t>FRODIN GARCIA CHAVEZ</t>
  </si>
  <si>
    <t>2P03</t>
  </si>
  <si>
    <t>WILVER VASQUEZ PAREDES</t>
  </si>
  <si>
    <r>
      <t xml:space="preserve">   Memorandum - Sem 005/2018</t>
    </r>
    <r>
      <rPr>
        <sz val="10"/>
        <rFont val="Draft 15cpi"/>
        <family val="3"/>
      </rPr>
      <t xml:space="preserve">   -   Fecha: 06/02/2018           ***     </t>
    </r>
    <r>
      <rPr>
        <b/>
        <sz val="10"/>
        <rFont val="Draft 15cpi"/>
        <family val="3"/>
      </rPr>
      <t xml:space="preserve">A N E X O  </t>
    </r>
    <r>
      <rPr>
        <sz val="10"/>
        <rFont val="Draft 15cpi"/>
        <family val="3"/>
      </rPr>
      <t>***</t>
    </r>
  </si>
  <si>
    <t xml:space="preserve">MIXERCON   Sem 05  </t>
  </si>
  <si>
    <t>Almacenes RANSA  Sem 05</t>
  </si>
  <si>
    <t>Reintgr Memo 005</t>
  </si>
  <si>
    <t>Dennis Ramos M.</t>
  </si>
  <si>
    <r>
      <t xml:space="preserve">   Memorandum - Sem 006/2018</t>
    </r>
    <r>
      <rPr>
        <sz val="10"/>
        <rFont val="Draft 15cpi"/>
        <family val="3"/>
      </rPr>
      <t xml:space="preserve">   -   Fecha: 13/02/2018           ***     </t>
    </r>
    <r>
      <rPr>
        <b/>
        <sz val="10"/>
        <rFont val="Draft 15cpi"/>
        <family val="3"/>
      </rPr>
      <t xml:space="preserve">A N E X O  </t>
    </r>
    <r>
      <rPr>
        <sz val="10"/>
        <rFont val="Draft 15cpi"/>
        <family val="3"/>
      </rPr>
      <t>***</t>
    </r>
  </si>
  <si>
    <t xml:space="preserve">MIXERCON   Sem 06  </t>
  </si>
  <si>
    <t>Almacenes RANSA  Sem 06</t>
  </si>
  <si>
    <t>Reintgr Memo 006</t>
  </si>
  <si>
    <t>VS02</t>
  </si>
  <si>
    <t>Fuera d Rango</t>
  </si>
  <si>
    <t>LISTADO</t>
  </si>
  <si>
    <r>
      <t xml:space="preserve">   Memorandum - Sem 007/2018</t>
    </r>
    <r>
      <rPr>
        <sz val="10"/>
        <rFont val="Draft 15cpi"/>
        <family val="3"/>
      </rPr>
      <t xml:space="preserve">   -   Fecha: 20/02/2018           ***     </t>
    </r>
    <r>
      <rPr>
        <b/>
        <sz val="10"/>
        <rFont val="Draft 15cpi"/>
        <family val="3"/>
      </rPr>
      <t xml:space="preserve">A N E X O  </t>
    </r>
    <r>
      <rPr>
        <sz val="10"/>
        <rFont val="Draft 15cpi"/>
        <family val="3"/>
      </rPr>
      <t>***</t>
    </r>
  </si>
  <si>
    <t>Almacenes RANSA  Sem 07</t>
  </si>
  <si>
    <t>Reintgr Memo 007</t>
  </si>
  <si>
    <t>VS03</t>
  </si>
  <si>
    <r>
      <t xml:space="preserve">   Memorandum - Sem 008/2018</t>
    </r>
    <r>
      <rPr>
        <sz val="10"/>
        <rFont val="Draft 15cpi"/>
        <family val="3"/>
      </rPr>
      <t xml:space="preserve">   -   Fecha: 27/02/2018           ***     </t>
    </r>
    <r>
      <rPr>
        <b/>
        <sz val="10"/>
        <rFont val="Draft 15cpi"/>
        <family val="3"/>
      </rPr>
      <t xml:space="preserve">A N E X O  </t>
    </r>
    <r>
      <rPr>
        <sz val="10"/>
        <rFont val="Draft 15cpi"/>
        <family val="3"/>
      </rPr>
      <t>***</t>
    </r>
  </si>
  <si>
    <t>Almacenes RANSA  Sem 08</t>
  </si>
  <si>
    <t>Reintgr Memo 008</t>
  </si>
  <si>
    <t>VS04</t>
  </si>
  <si>
    <r>
      <t xml:space="preserve">   Memorandum - Sem 009/2018</t>
    </r>
    <r>
      <rPr>
        <sz val="10"/>
        <rFont val="Draft 15cpi"/>
        <family val="3"/>
      </rPr>
      <t xml:space="preserve">   -   Fecha: 06/03/2018           ***     </t>
    </r>
    <r>
      <rPr>
        <b/>
        <sz val="10"/>
        <rFont val="Draft 15cpi"/>
        <family val="3"/>
      </rPr>
      <t xml:space="preserve">A N E X O  </t>
    </r>
    <r>
      <rPr>
        <sz val="10"/>
        <rFont val="Draft 15cpi"/>
        <family val="3"/>
      </rPr>
      <t>***</t>
    </r>
  </si>
  <si>
    <t>Mixercon   Sem 09</t>
  </si>
  <si>
    <t>Almacenes RANSA  Sem 09</t>
  </si>
  <si>
    <t>Reintgr Memo 009</t>
  </si>
  <si>
    <t>PEDRO RAFAELLE QUIROZ</t>
  </si>
  <si>
    <t>2P04</t>
  </si>
  <si>
    <t>SILVIA ALVARADO PRADO</t>
  </si>
  <si>
    <r>
      <t xml:space="preserve">   Memorandum - Sem 010/2018</t>
    </r>
    <r>
      <rPr>
        <sz val="10"/>
        <rFont val="Draft 15cpi"/>
        <family val="3"/>
      </rPr>
      <t xml:space="preserve">   -   Fecha: 13/03/2018           ***     </t>
    </r>
    <r>
      <rPr>
        <b/>
        <sz val="10"/>
        <rFont val="Draft 15cpi"/>
        <family val="3"/>
      </rPr>
      <t xml:space="preserve">A N E X O  </t>
    </r>
    <r>
      <rPr>
        <sz val="10"/>
        <rFont val="Draft 15cpi"/>
        <family val="3"/>
      </rPr>
      <t>***</t>
    </r>
  </si>
  <si>
    <t>San Remo Sem 10</t>
  </si>
  <si>
    <t>Reintgr Memo 010</t>
  </si>
  <si>
    <t>2P05</t>
  </si>
  <si>
    <t>JUAN MANUEL CAJACURI CASAS</t>
  </si>
  <si>
    <r>
      <t xml:space="preserve">   Memorandum - Sem 011/2018</t>
    </r>
    <r>
      <rPr>
        <sz val="10"/>
        <rFont val="Draft 15cpi"/>
        <family val="3"/>
      </rPr>
      <t xml:space="preserve">   -   Fecha: 21/03/2018           ***     </t>
    </r>
    <r>
      <rPr>
        <b/>
        <sz val="10"/>
        <rFont val="Draft 15cpi"/>
        <family val="3"/>
      </rPr>
      <t xml:space="preserve">A N E X O  </t>
    </r>
    <r>
      <rPr>
        <sz val="10"/>
        <rFont val="Draft 15cpi"/>
        <family val="3"/>
      </rPr>
      <t>***</t>
    </r>
  </si>
  <si>
    <t>San Remo Sem 11</t>
  </si>
  <si>
    <t>Almacenes RANSA  Sem 11</t>
  </si>
  <si>
    <t>Reintgr Memo 
Sem-11</t>
  </si>
  <si>
    <t xml:space="preserve"> + S/ 40.00 x remolcar unidad</t>
  </si>
  <si>
    <t xml:space="preserve"> + S/ 100.00 x espera de R-165</t>
  </si>
  <si>
    <t>Planilla ---&gt;&gt;</t>
  </si>
  <si>
    <r>
      <t xml:space="preserve">   Memorandum - Sem 012/2018</t>
    </r>
    <r>
      <rPr>
        <sz val="10"/>
        <rFont val="Draft 15cpi"/>
        <family val="3"/>
      </rPr>
      <t xml:space="preserve">   -   Fecha: 27/03/2018           ***     </t>
    </r>
    <r>
      <rPr>
        <b/>
        <sz val="10"/>
        <rFont val="Draft 15cpi"/>
        <family val="3"/>
      </rPr>
      <t xml:space="preserve">A N E X O  </t>
    </r>
    <r>
      <rPr>
        <sz val="10"/>
        <rFont val="Draft 15cpi"/>
        <family val="3"/>
      </rPr>
      <t>***</t>
    </r>
  </si>
  <si>
    <t>San Remo Sem 12</t>
  </si>
  <si>
    <t>Almacenes RANSA  Sem 12</t>
  </si>
  <si>
    <t>Reintgr Memo 
Sem-12</t>
  </si>
  <si>
    <t>Correccion al 03/04/2018</t>
  </si>
  <si>
    <r>
      <t xml:space="preserve">   Memorandum - Sem 013/2018</t>
    </r>
    <r>
      <rPr>
        <sz val="10"/>
        <rFont val="Draft 15cpi"/>
        <family val="3"/>
      </rPr>
      <t xml:space="preserve">   -   Fecha: 04/04/2018           ***     </t>
    </r>
    <r>
      <rPr>
        <b/>
        <sz val="10"/>
        <rFont val="Draft 15cpi"/>
        <family val="3"/>
      </rPr>
      <t xml:space="preserve">A N E X O  </t>
    </r>
    <r>
      <rPr>
        <sz val="10"/>
        <rFont val="Draft 15cpi"/>
        <family val="3"/>
      </rPr>
      <t>***</t>
    </r>
  </si>
  <si>
    <t>San Remo Sem 13</t>
  </si>
  <si>
    <t>Almacenes RANSA  Sem 13</t>
  </si>
  <si>
    <t>Reintgr Memo 
Sem-13</t>
  </si>
  <si>
    <t>CARDENAS SALDAÑA JULIO ZENON</t>
  </si>
  <si>
    <t>Reintegro Afecto</t>
  </si>
  <si>
    <t>DESCUENTO</t>
  </si>
  <si>
    <t>2D27</t>
  </si>
  <si>
    <t xml:space="preserve">  Listado</t>
  </si>
  <si>
    <r>
      <t xml:space="preserve">   Memorandum - Sem 014/2018</t>
    </r>
    <r>
      <rPr>
        <sz val="10"/>
        <rFont val="Draft 15cpi"/>
        <family val="3"/>
      </rPr>
      <t xml:space="preserve">   -   Fecha: 10/04/2018           ***     </t>
    </r>
    <r>
      <rPr>
        <b/>
        <sz val="10"/>
        <rFont val="Draft 15cpi"/>
        <family val="3"/>
      </rPr>
      <t xml:space="preserve">A N E X O  </t>
    </r>
    <r>
      <rPr>
        <sz val="10"/>
        <rFont val="Draft 15cpi"/>
        <family val="3"/>
      </rPr>
      <t>***</t>
    </r>
  </si>
  <si>
    <t>San Remo Sem ??</t>
  </si>
  <si>
    <t>Almacenes RANSA  Sem 14</t>
  </si>
  <si>
    <t>Reintgr Memo 
Sem-14</t>
  </si>
  <si>
    <t>Omar Guerrero .</t>
  </si>
  <si>
    <t>Vac Sem-01</t>
  </si>
  <si>
    <r>
      <t xml:space="preserve">   Memorandum - Sem 015/2018</t>
    </r>
    <r>
      <rPr>
        <sz val="10"/>
        <rFont val="Draft 15cpi"/>
        <family val="3"/>
      </rPr>
      <t xml:space="preserve">   -   Fecha: 17/04/2018           ***     </t>
    </r>
    <r>
      <rPr>
        <b/>
        <sz val="10"/>
        <rFont val="Draft 15cpi"/>
        <family val="3"/>
      </rPr>
      <t xml:space="preserve">A N E X O  </t>
    </r>
    <r>
      <rPr>
        <sz val="10"/>
        <rFont val="Draft 15cpi"/>
        <family val="3"/>
      </rPr>
      <t>***</t>
    </r>
  </si>
  <si>
    <t>Vac Sem-02</t>
  </si>
  <si>
    <t>Almacenes RANSA  Sem 15</t>
  </si>
  <si>
    <t>Reintgr Memo 
Sem-15</t>
  </si>
  <si>
    <t>2P06</t>
  </si>
  <si>
    <t>LUIS GOMEZ URBANO</t>
  </si>
  <si>
    <t>AL18/04</t>
  </si>
  <si>
    <r>
      <t xml:space="preserve">   Memorandum - Sem 016/2018</t>
    </r>
    <r>
      <rPr>
        <sz val="10"/>
        <rFont val="Draft 15cpi"/>
        <family val="3"/>
      </rPr>
      <t xml:space="preserve">   -   Fecha: 24/04/2018           ***     </t>
    </r>
    <r>
      <rPr>
        <b/>
        <sz val="10"/>
        <rFont val="Draft 15cpi"/>
        <family val="3"/>
      </rPr>
      <t xml:space="preserve">A N E X O  </t>
    </r>
    <r>
      <rPr>
        <sz val="10"/>
        <rFont val="Draft 15cpi"/>
        <family val="3"/>
      </rPr>
      <t>***</t>
    </r>
  </si>
  <si>
    <t>Reintgr Memo 
Sem-16</t>
  </si>
  <si>
    <t>Almacenes RANSA  Sem 16</t>
  </si>
  <si>
    <t>San Remo Sem 16</t>
  </si>
  <si>
    <t>Vac Sem-03</t>
  </si>
  <si>
    <t>Vac Sem-04</t>
  </si>
  <si>
    <r>
      <t xml:space="preserve">   Memorandum - Sem 017/2018</t>
    </r>
    <r>
      <rPr>
        <sz val="10"/>
        <rFont val="Draft 15cpi"/>
        <family val="3"/>
      </rPr>
      <t xml:space="preserve">   -   Fecha: 02/05/2018           ***     </t>
    </r>
    <r>
      <rPr>
        <b/>
        <sz val="10"/>
        <rFont val="Draft 15cpi"/>
        <family val="3"/>
      </rPr>
      <t xml:space="preserve">A N E X O  </t>
    </r>
    <r>
      <rPr>
        <sz val="10"/>
        <rFont val="Draft 15cpi"/>
        <family val="3"/>
      </rPr>
      <t>***</t>
    </r>
  </si>
  <si>
    <t>San Remo Sem 17</t>
  </si>
  <si>
    <t>Almacenes RANSA  Sem 17</t>
  </si>
  <si>
    <t>Reintgr Memo 
Sem-17</t>
  </si>
  <si>
    <t>***</t>
  </si>
  <si>
    <r>
      <t xml:space="preserve">   Memorandum - Sem 018/2018</t>
    </r>
    <r>
      <rPr>
        <sz val="10"/>
        <rFont val="Draft 15cpi"/>
        <family val="3"/>
      </rPr>
      <t xml:space="preserve">   -   Fecha: 08/05/2018           ***     </t>
    </r>
    <r>
      <rPr>
        <b/>
        <sz val="10"/>
        <rFont val="Draft 15cpi"/>
        <family val="3"/>
      </rPr>
      <t xml:space="preserve">A N E X O  </t>
    </r>
    <r>
      <rPr>
        <sz val="10"/>
        <rFont val="Draft 15cpi"/>
        <family val="3"/>
      </rPr>
      <t>***</t>
    </r>
  </si>
  <si>
    <t>Almacenes RANSA  Sem 18</t>
  </si>
  <si>
    <t>Reintgr Memo 
Sem-18</t>
  </si>
  <si>
    <t>45972762</t>
  </si>
  <si>
    <t>30/01/2017</t>
  </si>
  <si>
    <t>CANDIOTTI  CANO ABEL</t>
  </si>
  <si>
    <t>42670284</t>
  </si>
  <si>
    <t>42279770</t>
  </si>
  <si>
    <t>BARROSO  LOMOTE DAVID JESUS</t>
  </si>
  <si>
    <t>25841219</t>
  </si>
  <si>
    <t>25808689</t>
  </si>
  <si>
    <t>25701342</t>
  </si>
  <si>
    <t>CUADROS NOLASCO TEOFILO</t>
  </si>
  <si>
    <t>25457888</t>
  </si>
  <si>
    <t>LAURA  LLAMOCURI FAUSTINO</t>
  </si>
  <si>
    <t>23392133</t>
  </si>
  <si>
    <t>CAJACURI CASAS JUAN MANUEL</t>
  </si>
  <si>
    <t>21105892</t>
  </si>
  <si>
    <t>ASMAT SIGUEÑAS JUAN CARLOS</t>
  </si>
  <si>
    <t>18177041</t>
  </si>
  <si>
    <t>OLIVERA APAZA JULIO ALBERTO</t>
  </si>
  <si>
    <t>10860326</t>
  </si>
  <si>
    <t>VARGAS  HUAMAN WALTER</t>
  </si>
  <si>
    <t>10319124</t>
  </si>
  <si>
    <t>JUAREZ POMA OCTAVIO</t>
  </si>
  <si>
    <t>10155932</t>
  </si>
  <si>
    <t>08386422</t>
  </si>
  <si>
    <t>RAMOS  FLORES SAMUEL</t>
  </si>
  <si>
    <t>06563727</t>
  </si>
  <si>
    <t>GARCIA CHAVEZ FRODIN RONNE</t>
  </si>
  <si>
    <t>04033575</t>
  </si>
  <si>
    <t>TOPE MAX
S/ 720.00=</t>
  </si>
  <si>
    <t>PAGO NETO</t>
  </si>
  <si>
    <t>DESCUENTOS</t>
  </si>
  <si>
    <t>TOTAL INGRESOS</t>
  </si>
  <si>
    <t>JORNAL SEMANAL</t>
  </si>
  <si>
    <t>FECHA INGRESO</t>
  </si>
  <si>
    <t>APELLIDOS Y NOMBRES</t>
  </si>
  <si>
    <t>CODIGO</t>
  </si>
  <si>
    <t>ADMINISTRADOR DE SISTEMA</t>
  </si>
  <si>
    <t>USUARIO:</t>
  </si>
  <si>
    <t>TODOS</t>
  </si>
  <si>
    <t>CARGO:</t>
  </si>
  <si>
    <t>PLANILLA SEMANAL - CHOFERES</t>
  </si>
  <si>
    <t xml:space="preserve"> PLANILLA:</t>
  </si>
  <si>
    <t>F/ PAGO:</t>
  </si>
  <si>
    <t>MAYO</t>
  </si>
  <si>
    <t xml:space="preserve"> MES:</t>
  </si>
  <si>
    <t>05 CHOFERES</t>
  </si>
  <si>
    <t xml:space="preserve"> TIPO:</t>
  </si>
  <si>
    <t>AÑO:</t>
  </si>
  <si>
    <t>AL:</t>
  </si>
  <si>
    <t>30/04/2018</t>
  </si>
  <si>
    <t xml:space="preserve"> DEL:</t>
  </si>
  <si>
    <t>AFP/ONP:</t>
  </si>
  <si>
    <t>SEMANA 18</t>
  </si>
  <si>
    <t xml:space="preserve"> PERIODO:</t>
  </si>
  <si>
    <t>C.COSTO:</t>
  </si>
  <si>
    <t>TRANSPORTE COMERCIAL Y SEGURO TAKUSHI S.A.C.</t>
  </si>
  <si>
    <t>ASMAT SIGUEÑAS J. CARLOS</t>
  </si>
  <si>
    <t>Rtg Afecto</t>
  </si>
  <si>
    <r>
      <rPr>
        <b/>
        <u/>
        <sz val="8"/>
        <color indexed="10"/>
        <rFont val="Draft 15cpi"/>
        <family val="3"/>
      </rPr>
      <t>FINAL</t>
    </r>
    <r>
      <rPr>
        <u/>
        <sz val="8"/>
        <color indexed="10"/>
        <rFont val="Draft 15cpi"/>
        <family val="3"/>
      </rPr>
      <t xml:space="preserve"> - TRANSPORTE COMERCIAL Y SEGURO TAKUSHI S.A.C.</t>
    </r>
  </si>
  <si>
    <r>
      <rPr>
        <b/>
        <u/>
        <sz val="8"/>
        <color indexed="10"/>
        <rFont val="Draft 15cpi"/>
        <family val="3"/>
      </rPr>
      <t>PREVIO</t>
    </r>
    <r>
      <rPr>
        <u/>
        <sz val="8"/>
        <color indexed="10"/>
        <rFont val="Draft 15cpi"/>
        <family val="3"/>
      </rPr>
      <t xml:space="preserve"> - TRANSPORTE COMERCIAL Y SEGURO TAKUSHI S.A.C.</t>
    </r>
  </si>
  <si>
    <t>DIAS TRABAJADOS</t>
  </si>
  <si>
    <t>REINTEGRO AFECTO</t>
  </si>
  <si>
    <t>FERIADOS</t>
  </si>
  <si>
    <r>
      <t xml:space="preserve">   Memorandum - Sem 19/2018</t>
    </r>
    <r>
      <rPr>
        <sz val="10"/>
        <rFont val="Draft 15cpi"/>
        <family val="3"/>
      </rPr>
      <t xml:space="preserve">   -   Fecha: 15/05/2018           ***     </t>
    </r>
    <r>
      <rPr>
        <b/>
        <sz val="10"/>
        <rFont val="Draft 15cpi"/>
        <family val="3"/>
      </rPr>
      <t xml:space="preserve">A N E X O  </t>
    </r>
    <r>
      <rPr>
        <sz val="10"/>
        <rFont val="Draft 15cpi"/>
        <family val="3"/>
      </rPr>
      <t>***</t>
    </r>
  </si>
  <si>
    <t>Reintgr Memo 
Sem-19</t>
  </si>
  <si>
    <t>Almacenes RANSA  Sem 19</t>
  </si>
  <si>
    <t>Almacenes Mixercon  Sem 19</t>
  </si>
  <si>
    <t>Almacenes RANSA  Sem 20</t>
  </si>
  <si>
    <t>Reintgr Memo 
Sem-20</t>
  </si>
  <si>
    <r>
      <t xml:space="preserve">   Memorandum - Sem 20/2018</t>
    </r>
    <r>
      <rPr>
        <sz val="8"/>
        <rFont val="Draft 15cpi"/>
        <family val="3"/>
      </rPr>
      <t xml:space="preserve">   -   Fecha: 22/05/2018           ***     </t>
    </r>
    <r>
      <rPr>
        <b/>
        <sz val="8"/>
        <rFont val="Draft 15cpi"/>
        <family val="3"/>
      </rPr>
      <t xml:space="preserve">A N E X O  </t>
    </r>
    <r>
      <rPr>
        <sz val="8"/>
        <rFont val="Draft 15cpi"/>
        <family val="3"/>
      </rPr>
      <t>***</t>
    </r>
  </si>
  <si>
    <r>
      <t xml:space="preserve">   Memorandum - Sem 21/2018</t>
    </r>
    <r>
      <rPr>
        <sz val="9"/>
        <rFont val="Draft 15cpi"/>
        <family val="3"/>
      </rPr>
      <t xml:space="preserve">   -   Fecha: 29/05/2018           ***     </t>
    </r>
    <r>
      <rPr>
        <b/>
        <sz val="9"/>
        <rFont val="Draft 15cpi"/>
        <family val="3"/>
      </rPr>
      <t xml:space="preserve">A N E X O  </t>
    </r>
    <r>
      <rPr>
        <sz val="9"/>
        <rFont val="Draft 15cpi"/>
        <family val="3"/>
      </rPr>
      <t>***</t>
    </r>
  </si>
  <si>
    <t>Almacenes RANSA  Sem 21</t>
  </si>
  <si>
    <t>Reintgr Memo 
Sem-21</t>
  </si>
  <si>
    <t>QUIMPAC
Cmnt/Bols   Sem 21</t>
  </si>
  <si>
    <r>
      <t xml:space="preserve">   Memorandum - Sem 22/2018</t>
    </r>
    <r>
      <rPr>
        <sz val="9"/>
        <rFont val="Draft 15cpi"/>
        <family val="3"/>
      </rPr>
      <t xml:space="preserve">   -   Fecha: 06/06/2018           ***     </t>
    </r>
    <r>
      <rPr>
        <b/>
        <sz val="9"/>
        <rFont val="Draft 15cpi"/>
        <family val="3"/>
      </rPr>
      <t xml:space="preserve">A N E X O  </t>
    </r>
    <r>
      <rPr>
        <sz val="9"/>
        <rFont val="Draft 15cpi"/>
        <family val="3"/>
      </rPr>
      <t>***</t>
    </r>
  </si>
  <si>
    <t>QUIMPAC
Roca_Fosf Sem 22</t>
  </si>
  <si>
    <t>Almacenes RANSA  Sem 22</t>
  </si>
  <si>
    <t>Reintgr Memo 
Sem-22</t>
  </si>
  <si>
    <r>
      <t xml:space="preserve">   Memorandum - Sem 23/2018</t>
    </r>
    <r>
      <rPr>
        <sz val="9"/>
        <rFont val="Draft 15cpi"/>
        <family val="3"/>
      </rPr>
      <t xml:space="preserve">   -   Fecha: 12/06/2018           ***     </t>
    </r>
    <r>
      <rPr>
        <b/>
        <sz val="9"/>
        <rFont val="Draft 15cpi"/>
        <family val="3"/>
      </rPr>
      <t xml:space="preserve">A N E X O  </t>
    </r>
    <r>
      <rPr>
        <sz val="9"/>
        <rFont val="Draft 15cpi"/>
        <family val="3"/>
      </rPr>
      <t>***</t>
    </r>
  </si>
  <si>
    <t>Almacenes RANSA  Sem 23</t>
  </si>
  <si>
    <t>Reintgr Memo 
Sem-23</t>
  </si>
  <si>
    <r>
      <t xml:space="preserve">   Memorandum - Sem 24/2018</t>
    </r>
    <r>
      <rPr>
        <sz val="9"/>
        <rFont val="Draft 15cpi"/>
        <family val="3"/>
      </rPr>
      <t xml:space="preserve">   -   Fecha: 19/06/2018           ***     </t>
    </r>
    <r>
      <rPr>
        <b/>
        <sz val="9"/>
        <rFont val="Draft 15cpi"/>
        <family val="3"/>
      </rPr>
      <t xml:space="preserve">A N E X O  </t>
    </r>
    <r>
      <rPr>
        <sz val="9"/>
        <rFont val="Draft 15cpi"/>
        <family val="3"/>
      </rPr>
      <t>***</t>
    </r>
  </si>
  <si>
    <t>Almacenes RANSA  Sem 24</t>
  </si>
  <si>
    <t>Reintgr Memo 
Sem-24</t>
  </si>
  <si>
    <r>
      <t xml:space="preserve">   Memorandum - Sem 25/2018</t>
    </r>
    <r>
      <rPr>
        <sz val="9"/>
        <rFont val="Draft 15cpi"/>
        <family val="3"/>
      </rPr>
      <t xml:space="preserve">   -   Fecha: 27/06/2018           ***     </t>
    </r>
    <r>
      <rPr>
        <b/>
        <sz val="9"/>
        <rFont val="Draft 15cpi"/>
        <family val="3"/>
      </rPr>
      <t xml:space="preserve">A N E X O  </t>
    </r>
    <r>
      <rPr>
        <sz val="9"/>
        <rFont val="Draft 15cpi"/>
        <family val="3"/>
      </rPr>
      <t>***</t>
    </r>
  </si>
  <si>
    <t>Almacenes RANSA  Sem 25</t>
  </si>
  <si>
    <t>Reintgr Memo 
Sem-25</t>
  </si>
  <si>
    <r>
      <t xml:space="preserve">   Memorandum - Sem 26/2018</t>
    </r>
    <r>
      <rPr>
        <sz val="9"/>
        <rFont val="Draft 15cpi"/>
        <family val="3"/>
      </rPr>
      <t xml:space="preserve">   -   Fecha: 03/07/2018           ***     </t>
    </r>
    <r>
      <rPr>
        <b/>
        <sz val="9"/>
        <rFont val="Draft 15cpi"/>
        <family val="3"/>
      </rPr>
      <t xml:space="preserve">A N E X O  </t>
    </r>
    <r>
      <rPr>
        <sz val="9"/>
        <rFont val="Draft 15cpi"/>
        <family val="3"/>
      </rPr>
      <t>***</t>
    </r>
  </si>
  <si>
    <t>Almacenes RANSA  Sem 26</t>
  </si>
  <si>
    <t>Reintgr Memo 
Sem-26</t>
  </si>
  <si>
    <r>
      <t xml:space="preserve">   Memorandum - Sem 27/2018</t>
    </r>
    <r>
      <rPr>
        <sz val="9"/>
        <rFont val="Draft 15cpi"/>
        <family val="3"/>
      </rPr>
      <t xml:space="preserve">   -   Fecha: 10/07/2018           ***     </t>
    </r>
    <r>
      <rPr>
        <b/>
        <sz val="9"/>
        <rFont val="Draft 15cpi"/>
        <family val="3"/>
      </rPr>
      <t xml:space="preserve">A N E X O  </t>
    </r>
    <r>
      <rPr>
        <sz val="9"/>
        <rFont val="Draft 15cpi"/>
        <family val="3"/>
      </rPr>
      <t>***</t>
    </r>
  </si>
  <si>
    <t>Almacenes RANSA  Sem 27</t>
  </si>
  <si>
    <t>Reintgr Memo 
Sem-27</t>
  </si>
  <si>
    <t>2P07</t>
  </si>
  <si>
    <t>BORIS ARROYO VENTOCILLA</t>
  </si>
  <si>
    <t>TOTAL Bonoficacion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</si>
</sst>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ddd\ dd/mm/yyyy"/>
    <numFmt numFmtId="166" formatCode="ddd\ dd/mm/yyyy;@"/>
    <numFmt numFmtId="167" formatCode="_(* #,##0.00_);_(* \(#,##0.00\);_(* &quot;-&quot;??_);_(@_)"/>
    <numFmt numFmtId="168" formatCode="mm/dd/yyyy"/>
    <numFmt numFmtId="169" formatCode="###0.00"/>
    <numFmt numFmtId="170" formatCode="0.0000"/>
  </numFmts>
  <fonts count="65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i/>
      <sz val="9"/>
      <name val="Arial"/>
      <family val="2"/>
    </font>
    <font>
      <sz val="10"/>
      <color rgb="FFFF0000"/>
      <name val="Arial"/>
      <family val="2"/>
    </font>
    <font>
      <sz val="8"/>
      <name val="Draft 15cpi"/>
      <family val="3"/>
    </font>
    <font>
      <b/>
      <sz val="8"/>
      <name val="Draft 15cpi"/>
      <family val="3"/>
    </font>
    <font>
      <u/>
      <sz val="10"/>
      <name val="Draft 15cpi"/>
      <family val="3"/>
    </font>
    <font>
      <sz val="10"/>
      <name val="Draft 15cpi"/>
      <family val="3"/>
    </font>
    <font>
      <b/>
      <sz val="10"/>
      <name val="Draft 15cpi"/>
      <family val="3"/>
    </font>
    <font>
      <b/>
      <sz val="10"/>
      <color rgb="FF0000FF"/>
      <name val="Calibri"/>
      <family val="2"/>
      <scheme val="minor"/>
    </font>
    <font>
      <sz val="10"/>
      <color rgb="FF0000FF"/>
      <name val="Arial"/>
      <family val="2"/>
    </font>
    <font>
      <sz val="10"/>
      <color rgb="FFFF0000"/>
      <name val="Draft 15cpi"/>
      <family val="3"/>
    </font>
    <font>
      <b/>
      <sz val="10"/>
      <color rgb="FFC00000"/>
      <name val="Arial"/>
      <family val="2"/>
    </font>
    <font>
      <b/>
      <sz val="10"/>
      <color rgb="FFFF0000"/>
      <name val="Draft 15cpi"/>
      <family val="3"/>
    </font>
    <font>
      <sz val="10"/>
      <color rgb="FF0000FF"/>
      <name val="Draft 15cpi"/>
      <family val="3"/>
    </font>
    <font>
      <b/>
      <sz val="10"/>
      <color rgb="FF0000FF"/>
      <name val="Draft 15cpi"/>
      <family val="3"/>
    </font>
    <font>
      <sz val="8"/>
      <color rgb="FFFF0000"/>
      <name val="Draft 15cpi"/>
      <family val="3"/>
    </font>
    <font>
      <b/>
      <sz val="10"/>
      <color rgb="FFFF0000"/>
      <name val="Arial"/>
      <family val="2"/>
    </font>
    <font>
      <b/>
      <sz val="10"/>
      <color theme="0" tint="-0.14999847407452621"/>
      <name val="Draft 15cpi"/>
      <family val="3"/>
    </font>
    <font>
      <sz val="10"/>
      <color rgb="FF0033CC"/>
      <name val="Draft 15cpi"/>
      <family val="3"/>
    </font>
    <font>
      <b/>
      <sz val="10"/>
      <color rgb="FF0033CC"/>
      <name val="Draft 15cpi"/>
      <family val="3"/>
    </font>
    <font>
      <sz val="8"/>
      <color rgb="FF0033CC"/>
      <name val="Draft 15cpi"/>
      <family val="3"/>
    </font>
    <font>
      <sz val="8"/>
      <color rgb="FF0000FF"/>
      <name val="Draft 15cpi"/>
      <family val="3"/>
    </font>
    <font>
      <sz val="9"/>
      <color rgb="FFFF0000"/>
      <name val="Draft 15cpi"/>
      <family val="3"/>
    </font>
    <font>
      <sz val="9"/>
      <name val="Draft 15cpi"/>
      <family val="3"/>
    </font>
    <font>
      <sz val="9"/>
      <color rgb="FF0000FF"/>
      <name val="Draft 15cpi"/>
      <family val="3"/>
    </font>
    <font>
      <sz val="8"/>
      <name val="Arial Narrow"/>
      <family val="2"/>
    </font>
    <font>
      <b/>
      <sz val="10"/>
      <color rgb="FFFF0000"/>
      <name val="Arial Narrow"/>
      <family val="2"/>
    </font>
    <font>
      <sz val="10"/>
      <name val="Centaur"/>
      <family val="1"/>
    </font>
    <font>
      <sz val="11"/>
      <name val="Centaur"/>
      <family val="1"/>
    </font>
    <font>
      <sz val="8"/>
      <color rgb="FF0000FF"/>
      <name val="Arial"/>
      <family val="2"/>
    </font>
    <font>
      <sz val="8"/>
      <color rgb="FFFF0000"/>
      <name val="Arial"/>
      <family val="2"/>
    </font>
    <font>
      <b/>
      <sz val="10"/>
      <name val="Draft 15cpi"/>
      <family val="3"/>
    </font>
    <font>
      <sz val="10"/>
      <color theme="1"/>
      <name val="Calibri"/>
      <family val="2"/>
      <scheme val="minor"/>
    </font>
    <font>
      <b/>
      <i/>
      <sz val="10"/>
      <color rgb="FFC00000"/>
      <name val="Draft 15cpi"/>
      <family val="3"/>
    </font>
    <font>
      <sz val="10"/>
      <color theme="0" tint="-0.34998626667073579"/>
      <name val="Draft 15cpi"/>
      <family val="3"/>
    </font>
    <font>
      <sz val="10"/>
      <color rgb="FFFF0000"/>
      <name val="Arial Narrow"/>
      <family val="2"/>
    </font>
    <font>
      <sz val="11"/>
      <color theme="1"/>
      <name val="Calibri"/>
      <family val="2"/>
      <scheme val="minor"/>
    </font>
    <font>
      <sz val="10"/>
      <color theme="0" tint="-0.14999847407452621"/>
      <name val="Draft 15cpi"/>
      <family val="3"/>
    </font>
    <font>
      <sz val="10"/>
      <color theme="0" tint="-0.249977111117893"/>
      <name val="Draft 15cpi"/>
      <family val="3"/>
    </font>
    <font>
      <b/>
      <sz val="8"/>
      <color rgb="FFFF0000"/>
      <name val="Draft 15cpi"/>
      <family val="3"/>
    </font>
    <font>
      <b/>
      <sz val="6"/>
      <name val="Draft 15cpi"/>
      <family val="3"/>
    </font>
    <font>
      <b/>
      <i/>
      <sz val="8"/>
      <name val="Draft 15cpi"/>
      <family val="3"/>
    </font>
    <font>
      <b/>
      <i/>
      <u/>
      <sz val="8"/>
      <color indexed="10"/>
      <name val="Draft 15cpi"/>
      <family val="3"/>
    </font>
    <font>
      <sz val="7"/>
      <name val="Arial Narrow"/>
      <family val="2"/>
    </font>
    <font>
      <b/>
      <sz val="8"/>
      <color rgb="FF0000FF"/>
      <name val="Draft 15cpi"/>
      <family val="3"/>
    </font>
    <font>
      <u/>
      <sz val="8"/>
      <color indexed="10"/>
      <name val="Draft 15cpi"/>
      <family val="3"/>
    </font>
    <font>
      <b/>
      <u/>
      <sz val="8"/>
      <color indexed="10"/>
      <name val="Draft 15cpi"/>
      <family val="3"/>
    </font>
    <font>
      <b/>
      <sz val="8"/>
      <color rgb="FF0000FF"/>
      <name val="Arial"/>
      <family val="2"/>
    </font>
    <font>
      <b/>
      <sz val="10"/>
      <color theme="0" tint="-0.249977111117893"/>
      <name val="Draft 15cpi"/>
      <family val="3"/>
    </font>
    <font>
      <sz val="8"/>
      <color theme="1"/>
      <name val="Draft 15cpi"/>
      <family val="3"/>
    </font>
    <font>
      <u/>
      <sz val="8"/>
      <name val="Draft 15cpi"/>
      <family val="3"/>
    </font>
    <font>
      <b/>
      <i/>
      <sz val="8"/>
      <color rgb="FFC00000"/>
      <name val="Draft 15cpi"/>
      <family val="3"/>
    </font>
    <font>
      <b/>
      <sz val="8"/>
      <color theme="0" tint="-0.14999847407452621"/>
      <name val="Draft 15cpi"/>
      <family val="3"/>
    </font>
    <font>
      <b/>
      <sz val="8"/>
      <color theme="0" tint="-0.249977111117893"/>
      <name val="Draft 15cpi"/>
      <family val="3"/>
    </font>
    <font>
      <u/>
      <sz val="9"/>
      <name val="Draft 15cpi"/>
      <family val="3"/>
    </font>
    <font>
      <b/>
      <sz val="9"/>
      <name val="Draft 15cpi"/>
      <family val="3"/>
    </font>
    <font>
      <b/>
      <sz val="8"/>
      <color rgb="FFC00000"/>
      <name val="Draft 15cpi"/>
      <family val="3"/>
    </font>
    <font>
      <b/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41" fillId="0" borderId="0" applyFont="0" applyFill="0" applyBorder="0" applyAlignment="0" applyProtection="0"/>
  </cellStyleXfs>
  <cellXfs count="433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Border="1"/>
    <xf numFmtId="4" fontId="0" fillId="0" borderId="0" xfId="0" applyNumberFormat="1"/>
    <xf numFmtId="0" fontId="1" fillId="0" borderId="0" xfId="0" applyFont="1" applyAlignment="1">
      <alignment horizontal="center"/>
    </xf>
    <xf numFmtId="0" fontId="0" fillId="0" borderId="10" xfId="0" applyBorder="1"/>
    <xf numFmtId="164" fontId="0" fillId="0" borderId="0" xfId="0" applyNumberFormat="1"/>
    <xf numFmtId="0" fontId="8" fillId="0" borderId="0" xfId="0" applyFont="1" applyAlignment="1">
      <alignment vertical="center"/>
    </xf>
    <xf numFmtId="0" fontId="11" fillId="0" borderId="0" xfId="0" applyFont="1"/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wrapText="1" shrinkToFit="1"/>
    </xf>
    <xf numFmtId="0" fontId="12" fillId="0" borderId="1" xfId="0" applyFont="1" applyBorder="1" applyAlignment="1">
      <alignment horizontal="center" wrapText="1" shrinkToFit="1"/>
    </xf>
    <xf numFmtId="0" fontId="13" fillId="0" borderId="5" xfId="0" applyFont="1" applyBorder="1" applyAlignment="1">
      <alignment horizontal="center" wrapText="1" shrinkToFit="1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/>
    <xf numFmtId="3" fontId="11" fillId="0" borderId="6" xfId="0" applyNumberFormat="1" applyFont="1" applyBorder="1" applyAlignment="1">
      <alignment horizontal="center"/>
    </xf>
    <xf numFmtId="2" fontId="11" fillId="0" borderId="12" xfId="0" applyNumberFormat="1" applyFont="1" applyBorder="1" applyAlignment="1"/>
    <xf numFmtId="3" fontId="11" fillId="0" borderId="0" xfId="0" applyNumberFormat="1" applyFont="1" applyBorder="1" applyAlignment="1">
      <alignment horizontal="center"/>
    </xf>
    <xf numFmtId="2" fontId="11" fillId="0" borderId="4" xfId="0" applyNumberFormat="1" applyFont="1" applyBorder="1" applyAlignment="1"/>
    <xf numFmtId="0" fontId="11" fillId="0" borderId="0" xfId="0" applyFont="1" applyBorder="1"/>
    <xf numFmtId="4" fontId="11" fillId="0" borderId="4" xfId="0" applyNumberFormat="1" applyFont="1" applyBorder="1"/>
    <xf numFmtId="2" fontId="11" fillId="0" borderId="0" xfId="0" applyNumberFormat="1" applyFont="1" applyBorder="1"/>
    <xf numFmtId="4" fontId="12" fillId="0" borderId="1" xfId="0" applyNumberFormat="1" applyFont="1" applyBorder="1" applyAlignment="1"/>
    <xf numFmtId="164" fontId="14" fillId="0" borderId="0" xfId="0" applyNumberFormat="1" applyFont="1"/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/>
    <xf numFmtId="4" fontId="12" fillId="0" borderId="2" xfId="0" applyNumberFormat="1" applyFont="1" applyBorder="1" applyAlignment="1"/>
    <xf numFmtId="0" fontId="11" fillId="0" borderId="4" xfId="0" applyFont="1" applyBorder="1"/>
    <xf numFmtId="4" fontId="11" fillId="0" borderId="4" xfId="0" applyNumberFormat="1" applyFont="1" applyFill="1" applyBorder="1"/>
    <xf numFmtId="2" fontId="11" fillId="0" borderId="0" xfId="0" applyNumberFormat="1" applyFont="1" applyFill="1" applyBorder="1"/>
    <xf numFmtId="0" fontId="15" fillId="0" borderId="6" xfId="0" applyFont="1" applyBorder="1" applyAlignment="1">
      <alignment horizontal="center"/>
    </xf>
    <xf numFmtId="0" fontId="15" fillId="0" borderId="4" xfId="0" applyFont="1" applyBorder="1"/>
    <xf numFmtId="0" fontId="11" fillId="0" borderId="6" xfId="0" applyFont="1" applyBorder="1"/>
    <xf numFmtId="0" fontId="11" fillId="0" borderId="0" xfId="0" applyFont="1" applyBorder="1" applyAlignment="1">
      <alignment horizontal="center"/>
    </xf>
    <xf numFmtId="0" fontId="15" fillId="0" borderId="4" xfId="0" applyFont="1" applyBorder="1" applyAlignment="1"/>
    <xf numFmtId="0" fontId="11" fillId="0" borderId="11" xfId="0" applyFont="1" applyBorder="1" applyAlignment="1">
      <alignment horizontal="center"/>
    </xf>
    <xf numFmtId="4" fontId="12" fillId="0" borderId="3" xfId="0" applyNumberFormat="1" applyFont="1" applyBorder="1" applyAlignment="1"/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4" fillId="0" borderId="0" xfId="0" applyFont="1"/>
    <xf numFmtId="0" fontId="7" fillId="0" borderId="0" xfId="0" applyFont="1"/>
    <xf numFmtId="3" fontId="15" fillId="0" borderId="6" xfId="0" applyNumberFormat="1" applyFont="1" applyBorder="1" applyAlignment="1">
      <alignment horizontal="center"/>
    </xf>
    <xf numFmtId="2" fontId="15" fillId="0" borderId="4" xfId="0" applyNumberFormat="1" applyFont="1" applyBorder="1" applyAlignment="1"/>
    <xf numFmtId="3" fontId="15" fillId="0" borderId="0" xfId="0" applyNumberFormat="1" applyFont="1" applyBorder="1" applyAlignment="1">
      <alignment horizontal="center"/>
    </xf>
    <xf numFmtId="2" fontId="15" fillId="0" borderId="0" xfId="0" applyNumberFormat="1" applyFont="1" applyBorder="1"/>
    <xf numFmtId="4" fontId="17" fillId="0" borderId="2" xfId="0" applyNumberFormat="1" applyFont="1" applyBorder="1" applyAlignment="1"/>
    <xf numFmtId="0" fontId="11" fillId="0" borderId="10" xfId="0" applyFont="1" applyBorder="1" applyAlignment="1"/>
    <xf numFmtId="3" fontId="11" fillId="0" borderId="11" xfId="0" applyNumberFormat="1" applyFont="1" applyBorder="1" applyAlignment="1">
      <alignment horizontal="center"/>
    </xf>
    <xf numFmtId="2" fontId="11" fillId="0" borderId="10" xfId="0" applyNumberFormat="1" applyFont="1" applyBorder="1" applyAlignment="1"/>
    <xf numFmtId="3" fontId="11" fillId="0" borderId="9" xfId="0" applyNumberFormat="1" applyFont="1" applyBorder="1" applyAlignment="1">
      <alignment horizontal="center"/>
    </xf>
    <xf numFmtId="4" fontId="11" fillId="0" borderId="10" xfId="0" applyNumberFormat="1" applyFont="1" applyFill="1" applyBorder="1"/>
    <xf numFmtId="2" fontId="11" fillId="0" borderId="9" xfId="0" applyNumberFormat="1" applyFont="1" applyBorder="1"/>
    <xf numFmtId="1" fontId="12" fillId="0" borderId="3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horizontal="center" vertical="center"/>
    </xf>
    <xf numFmtId="0" fontId="15" fillId="0" borderId="6" xfId="0" applyFont="1" applyBorder="1"/>
    <xf numFmtId="0" fontId="15" fillId="0" borderId="0" xfId="0" applyFont="1" applyBorder="1" applyAlignment="1">
      <alignment horizontal="center"/>
    </xf>
    <xf numFmtId="4" fontId="15" fillId="0" borderId="4" xfId="0" applyNumberFormat="1" applyFont="1" applyFill="1" applyBorder="1"/>
    <xf numFmtId="2" fontId="15" fillId="0" borderId="0" xfId="0" applyNumberFormat="1" applyFont="1" applyFill="1" applyBorder="1"/>
    <xf numFmtId="164" fontId="21" fillId="0" borderId="0" xfId="0" applyNumberFormat="1" applyFont="1"/>
    <xf numFmtId="0" fontId="22" fillId="0" borderId="5" xfId="0" applyFont="1" applyBorder="1" applyAlignment="1">
      <alignment horizontal="center" wrapText="1" shrinkToFit="1"/>
    </xf>
    <xf numFmtId="1" fontId="22" fillId="0" borderId="3" xfId="0" applyNumberFormat="1" applyFont="1" applyBorder="1" applyAlignment="1">
      <alignment horizontal="center" vertical="center"/>
    </xf>
    <xf numFmtId="2" fontId="22" fillId="0" borderId="3" xfId="0" applyNumberFormat="1" applyFont="1" applyBorder="1" applyAlignment="1">
      <alignment vertical="center"/>
    </xf>
    <xf numFmtId="2" fontId="0" fillId="0" borderId="0" xfId="0" applyNumberFormat="1"/>
    <xf numFmtId="164" fontId="1" fillId="2" borderId="0" xfId="0" applyNumberFormat="1" applyFont="1" applyFill="1"/>
    <xf numFmtId="0" fontId="23" fillId="2" borderId="6" xfId="0" applyFont="1" applyFill="1" applyBorder="1" applyAlignment="1">
      <alignment horizontal="center"/>
    </xf>
    <xf numFmtId="0" fontId="23" fillId="2" borderId="4" xfId="0" applyFont="1" applyFill="1" applyBorder="1" applyAlignment="1"/>
    <xf numFmtId="3" fontId="23" fillId="2" borderId="6" xfId="0" applyNumberFormat="1" applyFont="1" applyFill="1" applyBorder="1" applyAlignment="1">
      <alignment horizontal="center"/>
    </xf>
    <xf numFmtId="2" fontId="23" fillId="2" borderId="4" xfId="0" applyNumberFormat="1" applyFont="1" applyFill="1" applyBorder="1" applyAlignment="1"/>
    <xf numFmtId="3" fontId="23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4" fontId="23" fillId="2" borderId="4" xfId="0" applyNumberFormat="1" applyFont="1" applyFill="1" applyBorder="1"/>
    <xf numFmtId="2" fontId="23" fillId="2" borderId="0" xfId="0" applyNumberFormat="1" applyFont="1" applyFill="1" applyBorder="1"/>
    <xf numFmtId="4" fontId="24" fillId="2" borderId="2" xfId="0" applyNumberFormat="1" applyFont="1" applyFill="1" applyBorder="1" applyAlignment="1"/>
    <xf numFmtId="164" fontId="2" fillId="0" borderId="0" xfId="0" applyNumberFormat="1" applyFont="1"/>
    <xf numFmtId="0" fontId="11" fillId="0" borderId="9" xfId="0" applyFont="1" applyBorder="1" applyAlignment="1">
      <alignment horizontal="center"/>
    </xf>
    <xf numFmtId="0" fontId="25" fillId="2" borderId="4" xfId="0" applyFont="1" applyFill="1" applyBorder="1" applyAlignment="1"/>
    <xf numFmtId="4" fontId="17" fillId="0" borderId="1" xfId="0" applyNumberFormat="1" applyFont="1" applyBorder="1" applyAlignment="1"/>
    <xf numFmtId="0" fontId="26" fillId="2" borderId="4" xfId="0" applyFont="1" applyFill="1" applyBorder="1" applyAlignment="1"/>
    <xf numFmtId="0" fontId="18" fillId="2" borderId="6" xfId="0" applyFont="1" applyFill="1" applyBorder="1" applyAlignment="1">
      <alignment horizontal="center"/>
    </xf>
    <xf numFmtId="0" fontId="18" fillId="2" borderId="4" xfId="0" applyFont="1" applyFill="1" applyBorder="1" applyAlignment="1"/>
    <xf numFmtId="3" fontId="18" fillId="2" borderId="6" xfId="0" applyNumberFormat="1" applyFont="1" applyFill="1" applyBorder="1" applyAlignment="1">
      <alignment horizontal="center"/>
    </xf>
    <xf numFmtId="2" fontId="18" fillId="2" borderId="4" xfId="0" applyNumberFormat="1" applyFont="1" applyFill="1" applyBorder="1" applyAlignment="1"/>
    <xf numFmtId="3" fontId="18" fillId="2" borderId="0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4" fontId="18" fillId="2" borderId="4" xfId="0" applyNumberFormat="1" applyFont="1" applyFill="1" applyBorder="1"/>
    <xf numFmtId="2" fontId="18" fillId="2" borderId="0" xfId="0" applyNumberFormat="1" applyFont="1" applyFill="1" applyBorder="1"/>
    <xf numFmtId="4" fontId="17" fillId="2" borderId="2" xfId="0" applyNumberFormat="1" applyFont="1" applyFill="1" applyBorder="1" applyAlignment="1"/>
    <xf numFmtId="4" fontId="19" fillId="2" borderId="2" xfId="0" applyNumberFormat="1" applyFont="1" applyFill="1" applyBorder="1" applyAlignment="1"/>
    <xf numFmtId="4" fontId="15" fillId="0" borderId="1" xfId="0" applyNumberFormat="1" applyFont="1" applyBorder="1" applyAlignment="1"/>
    <xf numFmtId="4" fontId="11" fillId="0" borderId="2" xfId="0" applyNumberFormat="1" applyFont="1" applyBorder="1" applyAlignment="1"/>
    <xf numFmtId="4" fontId="15" fillId="0" borderId="2" xfId="0" applyNumberFormat="1" applyFont="1" applyBorder="1" applyAlignment="1"/>
    <xf numFmtId="0" fontId="15" fillId="3" borderId="6" xfId="0" applyFont="1" applyFill="1" applyBorder="1" applyAlignment="1">
      <alignment horizontal="center"/>
    </xf>
    <xf numFmtId="0" fontId="17" fillId="3" borderId="4" xfId="0" applyFont="1" applyFill="1" applyBorder="1"/>
    <xf numFmtId="0" fontId="15" fillId="3" borderId="6" xfId="0" applyFont="1" applyFill="1" applyBorder="1"/>
    <xf numFmtId="2" fontId="15" fillId="3" borderId="4" xfId="0" applyNumberFormat="1" applyFont="1" applyFill="1" applyBorder="1" applyAlignment="1"/>
    <xf numFmtId="0" fontId="15" fillId="3" borderId="0" xfId="0" applyFont="1" applyFill="1" applyBorder="1" applyAlignment="1">
      <alignment horizontal="center"/>
    </xf>
    <xf numFmtId="4" fontId="15" fillId="3" borderId="4" xfId="0" applyNumberFormat="1" applyFont="1" applyFill="1" applyBorder="1"/>
    <xf numFmtId="2" fontId="11" fillId="3" borderId="0" xfId="0" applyNumberFormat="1" applyFont="1" applyFill="1" applyBorder="1"/>
    <xf numFmtId="4" fontId="15" fillId="3" borderId="2" xfId="0" applyNumberFormat="1" applyFont="1" applyFill="1" applyBorder="1" applyAlignment="1"/>
    <xf numFmtId="4" fontId="18" fillId="2" borderId="2" xfId="0" applyNumberFormat="1" applyFont="1" applyFill="1" applyBorder="1" applyAlignment="1"/>
    <xf numFmtId="3" fontId="15" fillId="3" borderId="6" xfId="0" applyNumberFormat="1" applyFont="1" applyFill="1" applyBorder="1" applyAlignment="1">
      <alignment horizontal="center"/>
    </xf>
    <xf numFmtId="3" fontId="15" fillId="3" borderId="0" xfId="0" applyNumberFormat="1" applyFont="1" applyFill="1" applyBorder="1" applyAlignment="1">
      <alignment horizontal="center"/>
    </xf>
    <xf numFmtId="0" fontId="15" fillId="3" borderId="4" xfId="0" applyFont="1" applyFill="1" applyBorder="1"/>
    <xf numFmtId="2" fontId="15" fillId="3" borderId="0" xfId="0" applyNumberFormat="1" applyFont="1" applyFill="1" applyBorder="1"/>
    <xf numFmtId="4" fontId="11" fillId="0" borderId="3" xfId="0" applyNumberFormat="1" applyFont="1" applyBorder="1" applyAlignment="1"/>
    <xf numFmtId="0" fontId="4" fillId="0" borderId="0" xfId="0" applyFont="1"/>
    <xf numFmtId="2" fontId="4" fillId="0" borderId="0" xfId="0" applyNumberFormat="1" applyFont="1"/>
    <xf numFmtId="1" fontId="0" fillId="0" borderId="0" xfId="0" applyNumberFormat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6" xfId="0" applyFont="1" applyFill="1" applyBorder="1"/>
    <xf numFmtId="2" fontId="11" fillId="0" borderId="4" xfId="0" applyNumberFormat="1" applyFont="1" applyFill="1" applyBorder="1" applyAlignment="1"/>
    <xf numFmtId="0" fontId="11" fillId="0" borderId="0" xfId="0" applyFont="1" applyFill="1" applyBorder="1" applyAlignment="1">
      <alignment horizontal="center"/>
    </xf>
    <xf numFmtId="4" fontId="15" fillId="0" borderId="2" xfId="0" applyNumberFormat="1" applyFont="1" applyFill="1" applyBorder="1" applyAlignment="1"/>
    <xf numFmtId="0" fontId="21" fillId="0" borderId="0" xfId="0" applyFont="1"/>
    <xf numFmtId="3" fontId="11" fillId="0" borderId="6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/>
    <xf numFmtId="4" fontId="27" fillId="0" borderId="1" xfId="0" applyNumberFormat="1" applyFont="1" applyBorder="1" applyAlignment="1"/>
    <xf numFmtId="4" fontId="28" fillId="0" borderId="2" xfId="0" applyNumberFormat="1" applyFont="1" applyBorder="1" applyAlignment="1"/>
    <xf numFmtId="4" fontId="27" fillId="0" borderId="2" xfId="0" applyNumberFormat="1" applyFont="1" applyBorder="1" applyAlignment="1"/>
    <xf numFmtId="4" fontId="27" fillId="0" borderId="2" xfId="0" applyNumberFormat="1" applyFont="1" applyFill="1" applyBorder="1" applyAlignment="1"/>
    <xf numFmtId="0" fontId="21" fillId="0" borderId="0" xfId="0" applyFont="1" applyAlignment="1">
      <alignment horizontal="center"/>
    </xf>
    <xf numFmtId="4" fontId="27" fillId="2" borderId="2" xfId="0" applyNumberFormat="1" applyFont="1" applyFill="1" applyBorder="1" applyAlignment="1"/>
    <xf numFmtId="4" fontId="29" fillId="2" borderId="2" xfId="0" applyNumberFormat="1" applyFont="1" applyFill="1" applyBorder="1" applyAlignment="1"/>
    <xf numFmtId="0" fontId="9" fillId="0" borderId="0" xfId="0" applyFont="1" applyAlignment="1">
      <alignment horizontal="center" vertical="center"/>
    </xf>
    <xf numFmtId="4" fontId="28" fillId="0" borderId="2" xfId="0" applyNumberFormat="1" applyFont="1" applyFill="1" applyBorder="1" applyAlignment="1"/>
    <xf numFmtId="4" fontId="28" fillId="0" borderId="3" xfId="0" applyNumberFormat="1" applyFont="1" applyBorder="1" applyAlignment="1"/>
    <xf numFmtId="0" fontId="1" fillId="0" borderId="0" xfId="0" applyFont="1" applyAlignment="1">
      <alignment horizontal="center" vertical="center"/>
    </xf>
    <xf numFmtId="4" fontId="28" fillId="0" borderId="1" xfId="0" applyNumberFormat="1" applyFont="1" applyBorder="1" applyAlignment="1"/>
    <xf numFmtId="4" fontId="28" fillId="2" borderId="2" xfId="0" applyNumberFormat="1" applyFont="1" applyFill="1" applyBorder="1" applyAlignment="1"/>
    <xf numFmtId="4" fontId="1" fillId="0" borderId="0" xfId="0" applyNumberFormat="1" applyFont="1"/>
    <xf numFmtId="164" fontId="14" fillId="0" borderId="13" xfId="0" applyNumberFormat="1" applyFont="1" applyBorder="1"/>
    <xf numFmtId="0" fontId="0" fillId="0" borderId="14" xfId="0" applyBorder="1"/>
    <xf numFmtId="0" fontId="0" fillId="0" borderId="12" xfId="0" applyBorder="1"/>
    <xf numFmtId="164" fontId="14" fillId="0" borderId="6" xfId="0" applyNumberFormat="1" applyFont="1" applyBorder="1"/>
    <xf numFmtId="2" fontId="21" fillId="3" borderId="5" xfId="0" applyNumberFormat="1" applyFont="1" applyFill="1" applyBorder="1" applyAlignment="1">
      <alignment horizontal="center" vertical="center"/>
    </xf>
    <xf numFmtId="164" fontId="21" fillId="0" borderId="6" xfId="0" applyNumberFormat="1" applyFont="1" applyBorder="1"/>
    <xf numFmtId="0" fontId="0" fillId="0" borderId="4" xfId="0" applyBorder="1"/>
    <xf numFmtId="164" fontId="14" fillId="0" borderId="11" xfId="0" applyNumberFormat="1" applyFont="1" applyBorder="1"/>
    <xf numFmtId="164" fontId="1" fillId="2" borderId="9" xfId="0" applyNumberFormat="1" applyFont="1" applyFill="1" applyBorder="1"/>
    <xf numFmtId="2" fontId="12" fillId="5" borderId="4" xfId="0" applyNumberFormat="1" applyFont="1" applyFill="1" applyBorder="1" applyAlignment="1"/>
    <xf numFmtId="0" fontId="6" fillId="5" borderId="0" xfId="0" applyFont="1" applyFill="1" applyAlignment="1"/>
    <xf numFmtId="164" fontId="14" fillId="5" borderId="0" xfId="0" applyNumberFormat="1" applyFont="1" applyFill="1"/>
    <xf numFmtId="0" fontId="0" fillId="5" borderId="0" xfId="0" applyFill="1"/>
    <xf numFmtId="2" fontId="0" fillId="0" borderId="0" xfId="0" applyNumberFormat="1" applyAlignment="1">
      <alignment horizontal="center"/>
    </xf>
    <xf numFmtId="0" fontId="3" fillId="0" borderId="7" xfId="0" applyFont="1" applyBorder="1" applyAlignment="1">
      <alignment horizontal="center"/>
    </xf>
    <xf numFmtId="4" fontId="1" fillId="0" borderId="8" xfId="0" applyNumberFormat="1" applyFont="1" applyBorder="1"/>
    <xf numFmtId="0" fontId="15" fillId="0" borderId="6" xfId="0" applyFont="1" applyFill="1" applyBorder="1" applyAlignment="1">
      <alignment horizontal="center"/>
    </xf>
    <xf numFmtId="0" fontId="15" fillId="0" borderId="4" xfId="0" applyFont="1" applyFill="1" applyBorder="1"/>
    <xf numFmtId="3" fontId="15" fillId="0" borderId="6" xfId="0" applyNumberFormat="1" applyFont="1" applyFill="1" applyBorder="1" applyAlignment="1">
      <alignment horizontal="center"/>
    </xf>
    <xf numFmtId="2" fontId="15" fillId="0" borderId="4" xfId="0" applyNumberFormat="1" applyFont="1" applyFill="1" applyBorder="1" applyAlignment="1"/>
    <xf numFmtId="3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64" fontId="31" fillId="0" borderId="0" xfId="0" applyNumberFormat="1" applyFont="1" applyAlignment="1">
      <alignment horizontal="center"/>
    </xf>
    <xf numFmtId="0" fontId="5" fillId="0" borderId="0" xfId="0" applyFont="1"/>
    <xf numFmtId="164" fontId="1" fillId="2" borderId="7" xfId="0" applyNumberFormat="1" applyFont="1" applyFill="1" applyBorder="1"/>
    <xf numFmtId="0" fontId="9" fillId="2" borderId="8" xfId="0" applyFont="1" applyFill="1" applyBorder="1" applyAlignment="1">
      <alignment vertical="center"/>
    </xf>
    <xf numFmtId="164" fontId="1" fillId="2" borderId="5" xfId="0" applyNumberFormat="1" applyFont="1" applyFill="1" applyBorder="1"/>
    <xf numFmtId="4" fontId="2" fillId="0" borderId="0" xfId="0" applyNumberFormat="1" applyFont="1" applyAlignment="1">
      <alignment horizontal="center"/>
    </xf>
    <xf numFmtId="0" fontId="32" fillId="0" borderId="0" xfId="0" applyFont="1" applyBorder="1" applyAlignment="1"/>
    <xf numFmtId="0" fontId="11" fillId="0" borderId="14" xfId="0" applyFont="1" applyBorder="1" applyAlignment="1"/>
    <xf numFmtId="0" fontId="11" fillId="0" borderId="0" xfId="0" applyFont="1" applyBorder="1" applyAlignment="1"/>
    <xf numFmtId="1" fontId="11" fillId="0" borderId="0" xfId="0" applyNumberFormat="1" applyFont="1" applyBorder="1" applyAlignment="1"/>
    <xf numFmtId="0" fontId="33" fillId="0" borderId="0" xfId="0" applyFont="1" applyBorder="1" applyAlignment="1"/>
    <xf numFmtId="0" fontId="11" fillId="0" borderId="9" xfId="0" applyFont="1" applyBorder="1" applyAlignment="1">
      <alignment horizontal="center"/>
    </xf>
    <xf numFmtId="0" fontId="34" fillId="2" borderId="4" xfId="0" applyFont="1" applyFill="1" applyBorder="1" applyAlignment="1"/>
    <xf numFmtId="0" fontId="35" fillId="2" borderId="4" xfId="0" applyFont="1" applyFill="1" applyBorder="1" applyAlignment="1">
      <alignment horizontal="center"/>
    </xf>
    <xf numFmtId="4" fontId="11" fillId="0" borderId="14" xfId="0" applyNumberFormat="1" applyFont="1" applyBorder="1" applyAlignment="1"/>
    <xf numFmtId="0" fontId="33" fillId="0" borderId="7" xfId="0" applyFont="1" applyBorder="1" applyAlignment="1"/>
    <xf numFmtId="4" fontId="36" fillId="0" borderId="8" xfId="0" applyNumberFormat="1" applyFont="1" applyBorder="1" applyAlignment="1"/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7" fillId="0" borderId="0" xfId="0" applyFont="1"/>
    <xf numFmtId="0" fontId="37" fillId="0" borderId="14" xfId="0" applyFont="1" applyBorder="1"/>
    <xf numFmtId="0" fontId="37" fillId="0" borderId="0" xfId="0" applyFont="1" applyBorder="1"/>
    <xf numFmtId="2" fontId="39" fillId="0" borderId="12" xfId="0" applyNumberFormat="1" applyFont="1" applyBorder="1" applyAlignment="1"/>
    <xf numFmtId="2" fontId="39" fillId="0" borderId="4" xfId="0" applyNumberFormat="1" applyFont="1" applyBorder="1" applyAlignment="1"/>
    <xf numFmtId="2" fontId="39" fillId="2" borderId="4" xfId="0" applyNumberFormat="1" applyFont="1" applyFill="1" applyBorder="1" applyAlignment="1"/>
    <xf numFmtId="2" fontId="39" fillId="0" borderId="4" xfId="0" applyNumberFormat="1" applyFont="1" applyFill="1" applyBorder="1" applyAlignment="1"/>
    <xf numFmtId="2" fontId="39" fillId="0" borderId="10" xfId="0" applyNumberFormat="1" applyFont="1" applyBorder="1" applyAlignment="1"/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0" fontId="40" fillId="2" borderId="0" xfId="0" applyFont="1" applyFill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11" fillId="0" borderId="2" xfId="0" applyNumberFormat="1" applyFont="1" applyFill="1" applyBorder="1"/>
    <xf numFmtId="2" fontId="11" fillId="0" borderId="2" xfId="0" applyNumberFormat="1" applyFont="1" applyBorder="1"/>
    <xf numFmtId="2" fontId="18" fillId="2" borderId="2" xfId="0" applyNumberFormat="1" applyFont="1" applyFill="1" applyBorder="1"/>
    <xf numFmtId="0" fontId="18" fillId="2" borderId="11" xfId="0" applyFont="1" applyFill="1" applyBorder="1" applyAlignment="1">
      <alignment horizontal="center"/>
    </xf>
    <xf numFmtId="0" fontId="18" fillId="2" borderId="10" xfId="0" applyFont="1" applyFill="1" applyBorder="1" applyAlignment="1"/>
    <xf numFmtId="3" fontId="18" fillId="2" borderId="11" xfId="0" applyNumberFormat="1" applyFont="1" applyFill="1" applyBorder="1" applyAlignment="1">
      <alignment horizontal="center"/>
    </xf>
    <xf numFmtId="2" fontId="39" fillId="2" borderId="10" xfId="0" applyNumberFormat="1" applyFont="1" applyFill="1" applyBorder="1" applyAlignment="1"/>
    <xf numFmtId="3" fontId="11" fillId="2" borderId="9" xfId="0" applyNumberFormat="1" applyFont="1" applyFill="1" applyBorder="1" applyAlignment="1">
      <alignment horizontal="center"/>
    </xf>
    <xf numFmtId="4" fontId="18" fillId="2" borderId="10" xfId="0" applyNumberFormat="1" applyFont="1" applyFill="1" applyBorder="1"/>
    <xf numFmtId="0" fontId="18" fillId="2" borderId="9" xfId="0" applyFont="1" applyFill="1" applyBorder="1" applyAlignment="1">
      <alignment horizontal="center"/>
    </xf>
    <xf numFmtId="2" fontId="18" fillId="2" borderId="3" xfId="0" applyNumberFormat="1" applyFont="1" applyFill="1" applyBorder="1"/>
    <xf numFmtId="4" fontId="11" fillId="2" borderId="4" xfId="0" applyNumberFormat="1" applyFont="1" applyFill="1" applyBorder="1"/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28" fillId="0" borderId="4" xfId="0" applyNumberFormat="1" applyFont="1" applyBorder="1" applyAlignment="1"/>
    <xf numFmtId="2" fontId="11" fillId="0" borderId="1" xfId="0" applyNumberFormat="1" applyFont="1" applyBorder="1"/>
    <xf numFmtId="4" fontId="11" fillId="0" borderId="12" xfId="0" applyNumberFormat="1" applyFont="1" applyBorder="1" applyAlignment="1"/>
    <xf numFmtId="2" fontId="42" fillId="0" borderId="4" xfId="0" applyNumberFormat="1" applyFont="1" applyBorder="1" applyAlignment="1"/>
    <xf numFmtId="2" fontId="43" fillId="0" borderId="4" xfId="0" applyNumberFormat="1" applyFont="1" applyBorder="1" applyAlignment="1"/>
    <xf numFmtId="4" fontId="43" fillId="2" borderId="4" xfId="0" applyNumberFormat="1" applyFont="1" applyFill="1" applyBorder="1"/>
    <xf numFmtId="2" fontId="43" fillId="0" borderId="4" xfId="0" applyNumberFormat="1" applyFont="1" applyFill="1" applyBorder="1" applyAlignment="1"/>
    <xf numFmtId="4" fontId="43" fillId="2" borderId="10" xfId="0" applyNumberFormat="1" applyFont="1" applyFill="1" applyBorder="1"/>
    <xf numFmtId="2" fontId="43" fillId="2" borderId="4" xfId="0" applyNumberFormat="1" applyFont="1" applyFill="1" applyBorder="1" applyAlignment="1"/>
    <xf numFmtId="2" fontId="43" fillId="2" borderId="10" xfId="0" applyNumberFormat="1" applyFont="1" applyFill="1" applyBorder="1" applyAlignment="1"/>
    <xf numFmtId="2" fontId="22" fillId="0" borderId="3" xfId="0" applyNumberFormat="1" applyFont="1" applyBorder="1" applyAlignment="1">
      <alignment horizontal="center" vertical="center"/>
    </xf>
    <xf numFmtId="3" fontId="42" fillId="0" borderId="0" xfId="0" applyNumberFormat="1" applyFont="1" applyBorder="1" applyAlignment="1">
      <alignment horizontal="center"/>
    </xf>
    <xf numFmtId="0" fontId="18" fillId="2" borderId="4" xfId="0" applyFont="1" applyFill="1" applyBorder="1"/>
    <xf numFmtId="0" fontId="18" fillId="2" borderId="6" xfId="0" applyFont="1" applyFill="1" applyBorder="1"/>
    <xf numFmtId="3" fontId="43" fillId="2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3" fontId="43" fillId="0" borderId="0" xfId="0" applyNumberFormat="1" applyFont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center"/>
    </xf>
    <xf numFmtId="4" fontId="12" fillId="0" borderId="4" xfId="0" applyNumberFormat="1" applyFont="1" applyFill="1" applyBorder="1"/>
    <xf numFmtId="4" fontId="12" fillId="0" borderId="4" xfId="0" applyNumberFormat="1" applyFont="1" applyBorder="1"/>
    <xf numFmtId="167" fontId="8" fillId="0" borderId="0" xfId="2" applyNumberFormat="1" applyFont="1" applyBorder="1" applyAlignment="1">
      <alignment vertical="center"/>
    </xf>
    <xf numFmtId="167" fontId="8" fillId="0" borderId="0" xfId="2" applyNumberFormat="1" applyFont="1" applyAlignment="1">
      <alignment vertical="center"/>
    </xf>
    <xf numFmtId="168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9" fillId="0" borderId="0" xfId="2" applyNumberFormat="1" applyFont="1" applyBorder="1" applyAlignment="1">
      <alignment vertical="center"/>
    </xf>
    <xf numFmtId="167" fontId="9" fillId="0" borderId="0" xfId="2" applyNumberFormat="1" applyFont="1" applyAlignment="1">
      <alignment vertical="center"/>
    </xf>
    <xf numFmtId="168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169" fontId="8" fillId="0" borderId="0" xfId="2" applyNumberFormat="1" applyFont="1" applyBorder="1" applyAlignment="1">
      <alignment vertical="center"/>
    </xf>
    <xf numFmtId="169" fontId="8" fillId="0" borderId="0" xfId="2" applyNumberFormat="1" applyFont="1" applyAlignment="1">
      <alignment vertical="center"/>
    </xf>
    <xf numFmtId="0" fontId="8" fillId="0" borderId="0" xfId="0" quotePrefix="1" applyFont="1" applyAlignment="1">
      <alignment horizontal="center" vertical="center"/>
    </xf>
    <xf numFmtId="169" fontId="44" fillId="2" borderId="0" xfId="2" applyNumberFormat="1" applyFont="1" applyFill="1" applyAlignment="1">
      <alignment vertical="center"/>
    </xf>
    <xf numFmtId="169" fontId="8" fillId="2" borderId="0" xfId="2" applyNumberFormat="1" applyFont="1" applyFill="1" applyAlignment="1">
      <alignment vertical="center"/>
    </xf>
    <xf numFmtId="168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quotePrefix="1" applyFont="1" applyFill="1" applyAlignment="1">
      <alignment horizontal="center" vertical="center"/>
    </xf>
    <xf numFmtId="0" fontId="45" fillId="0" borderId="15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14" fontId="8" fillId="0" borderId="0" xfId="0" applyNumberFormat="1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right"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 indent="1"/>
    </xf>
    <xf numFmtId="49" fontId="46" fillId="0" borderId="0" xfId="0" applyNumberFormat="1" applyFont="1" applyAlignment="1">
      <alignment horizontal="left" vertical="center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6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/>
    <xf numFmtId="164" fontId="14" fillId="0" borderId="0" xfId="0" applyNumberFormat="1" applyFont="1" applyFill="1" applyBorder="1"/>
    <xf numFmtId="0" fontId="37" fillId="0" borderId="0" xfId="0" applyFont="1" applyFill="1" applyBorder="1"/>
    <xf numFmtId="0" fontId="0" fillId="0" borderId="0" xfId="0" applyFill="1" applyBorder="1"/>
    <xf numFmtId="0" fontId="30" fillId="0" borderId="0" xfId="0" applyFont="1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/>
    <xf numFmtId="0" fontId="5" fillId="0" borderId="0" xfId="0" applyFont="1" applyFill="1" applyBorder="1"/>
    <xf numFmtId="164" fontId="1" fillId="0" borderId="0" xfId="0" applyNumberFormat="1" applyFont="1" applyFill="1" applyBorder="1"/>
    <xf numFmtId="0" fontId="9" fillId="0" borderId="0" xfId="0" applyFont="1" applyFill="1" applyBorder="1" applyAlignment="1">
      <alignment vertical="center"/>
    </xf>
    <xf numFmtId="0" fontId="2" fillId="0" borderId="0" xfId="0" applyFont="1" applyFill="1" applyBorder="1"/>
    <xf numFmtId="164" fontId="0" fillId="0" borderId="0" xfId="0" applyNumberFormat="1" applyFill="1" applyBorder="1"/>
    <xf numFmtId="0" fontId="48" fillId="0" borderId="0" xfId="0" applyFont="1" applyAlignment="1">
      <alignment vertical="center"/>
    </xf>
    <xf numFmtId="169" fontId="26" fillId="0" borderId="0" xfId="2" applyNumberFormat="1" applyFont="1" applyAlignment="1">
      <alignment vertical="center"/>
    </xf>
    <xf numFmtId="169" fontId="26" fillId="2" borderId="0" xfId="2" applyNumberFormat="1" applyFont="1" applyFill="1" applyAlignment="1">
      <alignment vertical="center"/>
    </xf>
    <xf numFmtId="167" fontId="49" fillId="0" borderId="0" xfId="2" applyNumberFormat="1" applyFont="1" applyAlignment="1">
      <alignment vertical="center"/>
    </xf>
    <xf numFmtId="170" fontId="37" fillId="0" borderId="0" xfId="0" applyNumberFormat="1" applyFont="1" applyBorder="1"/>
    <xf numFmtId="0" fontId="26" fillId="2" borderId="0" xfId="0" quotePrefix="1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168" fontId="26" fillId="2" borderId="0" xfId="0" applyNumberFormat="1" applyFont="1" applyFill="1" applyAlignment="1">
      <alignment horizontal="center" vertical="center"/>
    </xf>
    <xf numFmtId="169" fontId="49" fillId="2" borderId="0" xfId="2" applyNumberFormat="1" applyFont="1" applyFill="1" applyAlignment="1">
      <alignment vertical="center"/>
    </xf>
    <xf numFmtId="49" fontId="50" fillId="0" borderId="0" xfId="0" applyNumberFormat="1" applyFont="1" applyAlignment="1">
      <alignment horizontal="left" vertical="center"/>
    </xf>
    <xf numFmtId="0" fontId="45" fillId="0" borderId="0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left" vertical="center"/>
    </xf>
    <xf numFmtId="49" fontId="46" fillId="0" borderId="14" xfId="0" applyNumberFormat="1" applyFont="1" applyBorder="1" applyAlignment="1">
      <alignment horizontal="left" vertical="center"/>
    </xf>
    <xf numFmtId="0" fontId="9" fillId="0" borderId="14" xfId="0" applyNumberFormat="1" applyFont="1" applyBorder="1" applyAlignment="1">
      <alignment vertical="center"/>
    </xf>
    <xf numFmtId="0" fontId="8" fillId="0" borderId="14" xfId="0" applyNumberFormat="1" applyFont="1" applyBorder="1" applyAlignment="1">
      <alignment horizontal="left" vertical="center"/>
    </xf>
    <xf numFmtId="0" fontId="8" fillId="0" borderId="12" xfId="0" applyNumberFormat="1" applyFont="1" applyBorder="1" applyAlignment="1">
      <alignment horizontal="left" vertical="center"/>
    </xf>
    <xf numFmtId="49" fontId="9" fillId="0" borderId="6" xfId="0" applyNumberFormat="1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 vertical="center" indent="1"/>
    </xf>
    <xf numFmtId="49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14" fontId="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49" fontId="9" fillId="0" borderId="6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horizontal="left" vertical="center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8" xfId="0" applyNumberFormat="1" applyFont="1" applyFill="1" applyBorder="1" applyAlignment="1">
      <alignment horizontal="center" vertical="center" wrapText="1"/>
    </xf>
    <xf numFmtId="0" fontId="8" fillId="0" borderId="6" xfId="0" quotePrefix="1" applyFont="1" applyBorder="1" applyAlignment="1">
      <alignment horizontal="center" vertical="center"/>
    </xf>
    <xf numFmtId="168" fontId="8" fillId="0" borderId="0" xfId="0" applyNumberFormat="1" applyFont="1" applyBorder="1" applyAlignment="1">
      <alignment horizontal="center" vertical="center"/>
    </xf>
    <xf numFmtId="169" fontId="8" fillId="0" borderId="4" xfId="2" applyNumberFormat="1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168" fontId="9" fillId="0" borderId="9" xfId="0" applyNumberFormat="1" applyFont="1" applyBorder="1" applyAlignment="1">
      <alignment horizontal="center" vertical="center"/>
    </xf>
    <xf numFmtId="167" fontId="9" fillId="0" borderId="9" xfId="2" applyNumberFormat="1" applyFont="1" applyBorder="1" applyAlignment="1">
      <alignment vertical="center"/>
    </xf>
    <xf numFmtId="167" fontId="9" fillId="0" borderId="10" xfId="2" applyNumberFormat="1" applyFont="1" applyBorder="1" applyAlignment="1">
      <alignment vertical="center"/>
    </xf>
    <xf numFmtId="0" fontId="11" fillId="0" borderId="6" xfId="0" applyFont="1" applyBorder="1" applyAlignment="1">
      <alignment horizontal="center"/>
    </xf>
    <xf numFmtId="169" fontId="20" fillId="2" borderId="0" xfId="2" applyNumberFormat="1" applyFont="1" applyFill="1" applyBorder="1" applyAlignment="1">
      <alignment vertical="center"/>
    </xf>
    <xf numFmtId="0" fontId="52" fillId="2" borderId="4" xfId="0" applyFont="1" applyFill="1" applyBorder="1" applyAlignment="1"/>
    <xf numFmtId="0" fontId="17" fillId="0" borderId="5" xfId="0" applyFont="1" applyBorder="1" applyAlignment="1">
      <alignment horizontal="center" wrapText="1" shrinkToFit="1"/>
    </xf>
    <xf numFmtId="0" fontId="20" fillId="0" borderId="5" xfId="0" applyFont="1" applyBorder="1" applyAlignment="1">
      <alignment horizontal="center" wrapText="1" shrinkToFit="1"/>
    </xf>
    <xf numFmtId="4" fontId="15" fillId="0" borderId="4" xfId="0" applyNumberFormat="1" applyFont="1" applyBorder="1"/>
    <xf numFmtId="0" fontId="15" fillId="0" borderId="0" xfId="0" applyFont="1" applyBorder="1"/>
    <xf numFmtId="0" fontId="15" fillId="2" borderId="0" xfId="0" applyFont="1" applyFill="1" applyBorder="1" applyAlignment="1">
      <alignment horizontal="center"/>
    </xf>
    <xf numFmtId="4" fontId="15" fillId="2" borderId="4" xfId="0" applyNumberFormat="1" applyFont="1" applyFill="1" applyBorder="1"/>
    <xf numFmtId="0" fontId="15" fillId="2" borderId="9" xfId="0" applyFont="1" applyFill="1" applyBorder="1" applyAlignment="1">
      <alignment horizontal="center"/>
    </xf>
    <xf numFmtId="4" fontId="15" fillId="2" borderId="10" xfId="0" applyNumberFormat="1" applyFont="1" applyFill="1" applyBorder="1"/>
    <xf numFmtId="0" fontId="19" fillId="0" borderId="5" xfId="0" applyFont="1" applyBorder="1" applyAlignment="1">
      <alignment horizontal="center" wrapText="1" shrinkToFit="1"/>
    </xf>
    <xf numFmtId="0" fontId="18" fillId="0" borderId="0" xfId="0" applyFont="1" applyBorder="1"/>
    <xf numFmtId="4" fontId="18" fillId="0" borderId="4" xfId="0" applyNumberFormat="1" applyFont="1" applyBorder="1"/>
    <xf numFmtId="0" fontId="18" fillId="0" borderId="0" xfId="0" applyFont="1" applyFill="1" applyBorder="1" applyAlignment="1">
      <alignment horizontal="center"/>
    </xf>
    <xf numFmtId="4" fontId="18" fillId="0" borderId="4" xfId="0" applyNumberFormat="1" applyFont="1" applyFill="1" applyBorder="1"/>
    <xf numFmtId="0" fontId="18" fillId="0" borderId="0" xfId="0" applyFont="1" applyBorder="1" applyAlignment="1">
      <alignment horizontal="center"/>
    </xf>
    <xf numFmtId="1" fontId="19" fillId="0" borderId="3" xfId="0" applyNumberFormat="1" applyFont="1" applyBorder="1" applyAlignment="1">
      <alignment horizontal="center" vertical="center"/>
    </xf>
    <xf numFmtId="2" fontId="19" fillId="0" borderId="3" xfId="0" applyNumberFormat="1" applyFont="1" applyBorder="1" applyAlignment="1">
      <alignment horizontal="center" vertical="center"/>
    </xf>
    <xf numFmtId="1" fontId="17" fillId="0" borderId="3" xfId="0" applyNumberFormat="1" applyFont="1" applyBorder="1" applyAlignment="1">
      <alignment horizontal="center" vertical="center"/>
    </xf>
    <xf numFmtId="2" fontId="17" fillId="0" borderId="3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4" fontId="43" fillId="0" borderId="4" xfId="0" applyNumberFormat="1" applyFont="1" applyBorder="1"/>
    <xf numFmtId="0" fontId="43" fillId="0" borderId="0" xfId="0" applyFont="1" applyBorder="1"/>
    <xf numFmtId="4" fontId="43" fillId="0" borderId="4" xfId="0" applyNumberFormat="1" applyFont="1" applyFill="1" applyBorder="1"/>
    <xf numFmtId="0" fontId="43" fillId="2" borderId="0" xfId="0" applyFont="1" applyFill="1" applyBorder="1" applyAlignment="1">
      <alignment horizontal="center"/>
    </xf>
    <xf numFmtId="0" fontId="43" fillId="2" borderId="9" xfId="0" applyFont="1" applyFill="1" applyBorder="1" applyAlignment="1">
      <alignment horizontal="center"/>
    </xf>
    <xf numFmtId="1" fontId="53" fillId="0" borderId="3" xfId="0" applyNumberFormat="1" applyFont="1" applyBorder="1" applyAlignment="1">
      <alignment horizontal="center" vertical="center"/>
    </xf>
    <xf numFmtId="2" fontId="53" fillId="0" borderId="3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12" xfId="0" applyFont="1" applyBorder="1" applyAlignment="1"/>
    <xf numFmtId="0" fontId="8" fillId="0" borderId="4" xfId="0" applyFont="1" applyBorder="1" applyAlignment="1"/>
    <xf numFmtId="0" fontId="8" fillId="0" borderId="4" xfId="0" applyFont="1" applyFill="1" applyBorder="1"/>
    <xf numFmtId="0" fontId="8" fillId="0" borderId="4" xfId="0" applyFont="1" applyBorder="1"/>
    <xf numFmtId="0" fontId="26" fillId="2" borderId="4" xfId="0" applyFont="1" applyFill="1" applyBorder="1"/>
    <xf numFmtId="0" fontId="26" fillId="2" borderId="10" xfId="0" applyFont="1" applyFill="1" applyBorder="1" applyAlignment="1"/>
    <xf numFmtId="0" fontId="49" fillId="2" borderId="4" xfId="0" applyFont="1" applyFill="1" applyBorder="1" applyAlignment="1"/>
    <xf numFmtId="0" fontId="20" fillId="2" borderId="4" xfId="0" applyFont="1" applyFill="1" applyBorder="1" applyAlignment="1">
      <alignment horizontal="center"/>
    </xf>
    <xf numFmtId="0" fontId="54" fillId="0" borderId="0" xfId="0" applyFont="1"/>
    <xf numFmtId="0" fontId="8" fillId="0" borderId="0" xfId="0" applyFont="1"/>
    <xf numFmtId="0" fontId="26" fillId="0" borderId="0" xfId="0" applyFont="1"/>
    <xf numFmtId="0" fontId="9" fillId="0" borderId="5" xfId="0" applyFont="1" applyBorder="1" applyAlignment="1">
      <alignment horizontal="center"/>
    </xf>
    <xf numFmtId="0" fontId="57" fillId="0" borderId="5" xfId="0" applyFont="1" applyBorder="1" applyAlignment="1">
      <alignment horizontal="center" wrapText="1" shrinkToFit="1"/>
    </xf>
    <xf numFmtId="0" fontId="58" fillId="0" borderId="5" xfId="0" applyFont="1" applyBorder="1" applyAlignment="1">
      <alignment horizontal="center" wrapText="1" shrinkToFit="1"/>
    </xf>
    <xf numFmtId="0" fontId="49" fillId="0" borderId="5" xfId="0" applyFont="1" applyBorder="1" applyAlignment="1">
      <alignment horizontal="center" wrapText="1" shrinkToFit="1"/>
    </xf>
    <xf numFmtId="0" fontId="9" fillId="0" borderId="5" xfId="0" applyFont="1" applyBorder="1" applyAlignment="1">
      <alignment horizontal="center" wrapText="1" shrinkToFit="1"/>
    </xf>
    <xf numFmtId="0" fontId="9" fillId="0" borderId="1" xfId="0" applyFont="1" applyBorder="1" applyAlignment="1">
      <alignment horizontal="center" wrapText="1" shrinkToFit="1"/>
    </xf>
    <xf numFmtId="0" fontId="9" fillId="0" borderId="0" xfId="0" applyFont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4" fontId="11" fillId="2" borderId="10" xfId="0" applyNumberFormat="1" applyFont="1" applyFill="1" applyBorder="1"/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4" fontId="19" fillId="2" borderId="4" xfId="0" applyNumberFormat="1" applyFont="1" applyFill="1" applyBorder="1"/>
    <xf numFmtId="0" fontId="15" fillId="2" borderId="6" xfId="0" applyFont="1" applyFill="1" applyBorder="1" applyAlignment="1">
      <alignment horizontal="center"/>
    </xf>
    <xf numFmtId="0" fontId="20" fillId="2" borderId="4" xfId="0" applyFont="1" applyFill="1" applyBorder="1"/>
    <xf numFmtId="2" fontId="15" fillId="2" borderId="4" xfId="0" applyNumberFormat="1" applyFont="1" applyFill="1" applyBorder="1" applyAlignment="1"/>
    <xf numFmtId="2" fontId="15" fillId="2" borderId="2" xfId="0" applyNumberFormat="1" applyFont="1" applyFill="1" applyBorder="1"/>
    <xf numFmtId="3" fontId="15" fillId="2" borderId="6" xfId="0" applyNumberFormat="1" applyFont="1" applyFill="1" applyBorder="1" applyAlignment="1">
      <alignment horizontal="center"/>
    </xf>
    <xf numFmtId="0" fontId="8" fillId="0" borderId="10" xfId="0" applyFont="1" applyBorder="1" applyAlignment="1"/>
    <xf numFmtId="2" fontId="43" fillId="0" borderId="10" xfId="0" applyNumberFormat="1" applyFont="1" applyBorder="1" applyAlignment="1"/>
    <xf numFmtId="0" fontId="11" fillId="0" borderId="9" xfId="0" applyFont="1" applyBorder="1"/>
    <xf numFmtId="0" fontId="18" fillId="0" borderId="9" xfId="0" applyFont="1" applyBorder="1"/>
    <xf numFmtId="4" fontId="18" fillId="0" borderId="10" xfId="0" applyNumberFormat="1" applyFont="1" applyFill="1" applyBorder="1"/>
    <xf numFmtId="2" fontId="11" fillId="0" borderId="3" xfId="0" applyNumberFormat="1" applyFont="1" applyBorder="1"/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" fontId="17" fillId="2" borderId="4" xfId="0" applyNumberFormat="1" applyFont="1" applyFill="1" applyBorder="1"/>
    <xf numFmtId="4" fontId="17" fillId="3" borderId="8" xfId="0" applyNumberFormat="1" applyFont="1" applyFill="1" applyBorder="1" applyAlignment="1"/>
    <xf numFmtId="0" fontId="33" fillId="3" borderId="7" xfId="0" applyFont="1" applyFill="1" applyBorder="1" applyAlignment="1"/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64" fontId="63" fillId="0" borderId="13" xfId="0" applyNumberFormat="1" applyFont="1" applyBorder="1"/>
    <xf numFmtId="0" fontId="64" fillId="0" borderId="14" xfId="0" applyFont="1" applyBorder="1"/>
    <xf numFmtId="0" fontId="62" fillId="0" borderId="12" xfId="0" applyFont="1" applyBorder="1"/>
    <xf numFmtId="0" fontId="1" fillId="3" borderId="19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" fontId="17" fillId="3" borderId="4" xfId="0" applyNumberFormat="1" applyFont="1" applyFill="1" applyBorder="1"/>
    <xf numFmtId="4" fontId="17" fillId="3" borderId="0" xfId="0" applyNumberFormat="1" applyFont="1" applyFill="1" applyBorder="1"/>
    <xf numFmtId="0" fontId="59" fillId="0" borderId="0" xfId="0" applyFont="1" applyBorder="1" applyAlignment="1"/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6" fontId="61" fillId="4" borderId="6" xfId="0" applyNumberFormat="1" applyFont="1" applyFill="1" applyBorder="1" applyAlignment="1">
      <alignment horizontal="center" vertical="center"/>
    </xf>
    <xf numFmtId="166" fontId="61" fillId="4" borderId="0" xfId="0" applyNumberFormat="1" applyFont="1" applyFill="1" applyBorder="1" applyAlignment="1">
      <alignment horizontal="center" vertical="center"/>
    </xf>
    <xf numFmtId="166" fontId="56" fillId="4" borderId="6" xfId="0" applyNumberFormat="1" applyFont="1" applyFill="1" applyBorder="1" applyAlignment="1">
      <alignment horizontal="center" vertical="center"/>
    </xf>
    <xf numFmtId="166" fontId="56" fillId="4" borderId="0" xfId="0" applyNumberFormat="1" applyFont="1" applyFill="1" applyBorder="1" applyAlignment="1">
      <alignment horizontal="center" vertical="center"/>
    </xf>
    <xf numFmtId="0" fontId="55" fillId="0" borderId="0" xfId="0" applyFont="1" applyBorder="1" applyAlignment="1"/>
    <xf numFmtId="0" fontId="10" fillId="0" borderId="0" xfId="0" applyFont="1" applyBorder="1" applyAlignment="1"/>
    <xf numFmtId="0" fontId="11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6" fontId="38" fillId="4" borderId="6" xfId="0" applyNumberFormat="1" applyFont="1" applyFill="1" applyBorder="1" applyAlignment="1">
      <alignment horizontal="center" vertical="center"/>
    </xf>
    <xf numFmtId="166" fontId="38" fillId="4" borderId="0" xfId="0" applyNumberFormat="1" applyFont="1" applyFill="1" applyBorder="1" applyAlignment="1">
      <alignment horizontal="center" vertical="center"/>
    </xf>
    <xf numFmtId="166" fontId="38" fillId="4" borderId="7" xfId="0" applyNumberFormat="1" applyFont="1" applyFill="1" applyBorder="1" applyAlignment="1">
      <alignment horizontal="center" vertical="center"/>
    </xf>
    <xf numFmtId="166" fontId="38" fillId="4" borderId="8" xfId="0" applyNumberFormat="1" applyFont="1" applyFill="1" applyBorder="1" applyAlignment="1">
      <alignment horizontal="center" vertical="center"/>
    </xf>
    <xf numFmtId="165" fontId="16" fillId="4" borderId="7" xfId="0" applyNumberFormat="1" applyFont="1" applyFill="1" applyBorder="1" applyAlignment="1">
      <alignment horizontal="center" vertical="center"/>
    </xf>
    <xf numFmtId="165" fontId="16" fillId="4" borderId="8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0" xfId="0" applyFont="1" applyFill="1"/>
    <xf numFmtId="0" fontId="8" fillId="0" borderId="4" xfId="0" applyFont="1" applyFill="1" applyBorder="1" applyAlignment="1"/>
  </cellXfs>
  <cellStyles count="3">
    <cellStyle name="Diseño" xfId="1"/>
    <cellStyle name="Millares" xfId="2" builtinId="3"/>
    <cellStyle name="Normal" xfId="0" builtinId="0"/>
  </cellStyles>
  <dxfs count="21">
    <dxf>
      <font>
        <b/>
        <i val="0"/>
        <strike val="0"/>
      </font>
    </dxf>
    <dxf>
      <font>
        <b val="0"/>
        <i val="0"/>
        <color theme="0" tint="-4.9989318521683403E-2"/>
      </font>
    </dxf>
    <dxf>
      <font>
        <b val="0"/>
        <i val="0"/>
        <color theme="0" tint="-4.9989318521683403E-2"/>
      </font>
    </dxf>
    <dxf>
      <font>
        <b val="0"/>
        <i val="0"/>
        <color theme="0" tint="-4.9989318521683403E-2"/>
      </font>
    </dxf>
    <dxf>
      <font>
        <b val="0"/>
        <i val="0"/>
        <color theme="0" tint="-4.9989318521683403E-2"/>
      </font>
    </dxf>
    <dxf>
      <font>
        <b val="0"/>
        <i val="0"/>
        <color theme="0" tint="-4.9989318521683403E-2"/>
      </font>
    </dxf>
    <dxf>
      <font>
        <b val="0"/>
        <i val="0"/>
        <color theme="0" tint="-4.9989318521683403E-2"/>
      </font>
    </dxf>
    <dxf>
      <font>
        <b val="0"/>
        <i val="0"/>
        <color theme="0" tint="-4.9989318521683403E-2"/>
      </font>
    </dxf>
    <dxf>
      <font>
        <b val="0"/>
        <i val="0"/>
        <color theme="0" tint="-4.9989318521683403E-2"/>
      </font>
    </dxf>
    <dxf>
      <font>
        <b val="0"/>
        <i val="0"/>
        <color theme="0" tint="-4.9989318521683403E-2"/>
      </font>
    </dxf>
    <dxf>
      <font>
        <b val="0"/>
        <i val="0"/>
        <color theme="0" tint="-4.9989318521683403E-2"/>
      </font>
    </dxf>
    <dxf>
      <font>
        <b val="0"/>
        <i val="0"/>
        <color theme="0" tint="-4.9989318521683403E-2"/>
      </font>
    </dxf>
    <dxf>
      <font>
        <b val="0"/>
        <i val="0"/>
        <color theme="0" tint="-4.9989318521683403E-2"/>
      </font>
    </dxf>
    <dxf>
      <font>
        <b val="0"/>
        <i val="0"/>
        <color theme="0" tint="-4.9989318521683403E-2"/>
      </font>
    </dxf>
    <dxf>
      <font>
        <b val="0"/>
        <i val="0"/>
        <color theme="0" tint="-4.9989318521683403E-2"/>
      </font>
    </dxf>
    <dxf>
      <font>
        <b/>
        <i val="0"/>
        <strike val="0"/>
      </font>
    </dxf>
    <dxf>
      <font>
        <b val="0"/>
        <i val="0"/>
        <color theme="0" tint="-4.9989318521683403E-2"/>
      </font>
    </dxf>
    <dxf>
      <font>
        <b/>
        <i val="0"/>
        <strike val="0"/>
      </font>
    </dxf>
    <dxf>
      <font>
        <b val="0"/>
        <i val="0"/>
        <color theme="0" tint="-4.9989318521683403E-2"/>
      </font>
    </dxf>
    <dxf>
      <font>
        <b/>
        <i val="0"/>
        <strike val="0"/>
      </font>
    </dxf>
    <dxf>
      <font>
        <b val="0"/>
        <i val="0"/>
        <color theme="0" tint="-4.9989318521683403E-2"/>
      </font>
    </dxf>
  </dxfs>
  <tableStyles count="0" defaultTableStyle="TableStyleMedium9" defaultPivotStyle="PivotStyleLight16"/>
  <colors>
    <mruColors>
      <color rgb="FFFFFFCC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5"/>
  <sheetViews>
    <sheetView tabSelected="1" zoomScale="85" zoomScaleNormal="85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T32" sqref="T32"/>
    </sheetView>
  </sheetViews>
  <sheetFormatPr baseColWidth="10" defaultRowHeight="15"/>
  <cols>
    <col min="1" max="1" width="5.7109375" customWidth="1"/>
    <col min="2" max="2" width="0" hidden="1" customWidth="1"/>
    <col min="3" max="3" width="20.7109375" hidden="1" customWidth="1"/>
    <col min="4" max="4" width="20.7109375" style="1" hidden="1" customWidth="1"/>
    <col min="5" max="5" width="13.28515625" hidden="1" customWidth="1"/>
    <col min="6" max="6" width="10.42578125" style="2" hidden="1" customWidth="1"/>
    <col min="7" max="7" width="25.28515625" hidden="1" customWidth="1"/>
    <col min="8" max="8" width="12.5703125" bestFit="1" customWidth="1"/>
    <col min="9" max="9" width="8.7109375" customWidth="1"/>
    <col min="10" max="10" width="24.140625" customWidth="1"/>
    <col min="11" max="11" width="8.7109375" customWidth="1"/>
    <col min="12" max="12" width="10.7109375" bestFit="1" customWidth="1"/>
    <col min="13" max="13" width="8.7109375" customWidth="1"/>
    <col min="14" max="14" width="10.7109375" customWidth="1"/>
    <col min="15" max="15" width="8.7109375" customWidth="1"/>
    <col min="16" max="16" width="11.42578125" customWidth="1"/>
    <col min="17" max="17" width="11.7109375" customWidth="1"/>
    <col min="18" max="18" width="12.5703125" bestFit="1" customWidth="1"/>
    <col min="19" max="19" width="2.7109375" customWidth="1"/>
    <col min="20" max="20" width="13.28515625" customWidth="1"/>
    <col min="21" max="21" width="11.5703125" style="181" customWidth="1"/>
    <col min="22" max="22" width="10.7109375" customWidth="1"/>
    <col min="23" max="23" width="20.7109375" customWidth="1"/>
    <col min="24" max="24" width="2" customWidth="1"/>
    <col min="25" max="25" width="11.85546875" customWidth="1"/>
    <col min="26" max="26" width="20" customWidth="1"/>
    <col min="27" max="27" width="11.7109375" customWidth="1"/>
    <col min="28" max="28" width="11" customWidth="1"/>
    <col min="29" max="29" width="10.7109375" customWidth="1"/>
    <col min="30" max="30" width="10.42578125" customWidth="1"/>
    <col min="31" max="31" width="12.28515625" customWidth="1"/>
    <col min="32" max="32" width="9.42578125" customWidth="1"/>
    <col min="33" max="33" width="9.85546875" customWidth="1"/>
    <col min="34" max="34" width="9.5703125" customWidth="1"/>
  </cols>
  <sheetData>
    <row r="1" spans="8:32" ht="5.0999999999999996" customHeight="1"/>
    <row r="2" spans="8:32">
      <c r="H2" s="357"/>
      <c r="I2" s="409" t="s">
        <v>265</v>
      </c>
      <c r="J2" s="409"/>
      <c r="K2" s="409"/>
      <c r="L2" s="409"/>
      <c r="M2" s="409"/>
      <c r="N2" s="409"/>
      <c r="O2" s="409"/>
      <c r="P2" s="409"/>
      <c r="Q2" s="409"/>
      <c r="R2" s="409"/>
      <c r="S2" s="357"/>
      <c r="T2" s="359"/>
      <c r="U2" s="357"/>
    </row>
    <row r="3" spans="8:32">
      <c r="H3" s="357"/>
      <c r="I3" s="358"/>
      <c r="J3" s="358"/>
      <c r="K3" s="410" t="s">
        <v>58</v>
      </c>
      <c r="L3" s="411"/>
      <c r="M3" s="411"/>
      <c r="N3" s="412"/>
      <c r="O3" s="411" t="s">
        <v>59</v>
      </c>
      <c r="P3" s="412"/>
      <c r="Q3" s="358"/>
      <c r="R3" s="358"/>
      <c r="S3" s="413">
        <f ca="1">+TODAY()</f>
        <v>43292</v>
      </c>
      <c r="T3" s="414"/>
      <c r="U3" s="414"/>
    </row>
    <row r="4" spans="8:32" ht="34.5">
      <c r="H4" s="357"/>
      <c r="I4" s="360" t="s">
        <v>11</v>
      </c>
      <c r="J4" s="360" t="s">
        <v>3</v>
      </c>
      <c r="K4" s="361" t="s">
        <v>23</v>
      </c>
      <c r="L4" s="361" t="s">
        <v>77</v>
      </c>
      <c r="M4" s="361" t="s">
        <v>23</v>
      </c>
      <c r="N4" s="361" t="s">
        <v>77</v>
      </c>
      <c r="O4" s="363" t="s">
        <v>23</v>
      </c>
      <c r="P4" s="363" t="s">
        <v>266</v>
      </c>
      <c r="Q4" s="364" t="s">
        <v>267</v>
      </c>
      <c r="R4" s="365" t="s">
        <v>270</v>
      </c>
      <c r="S4" s="366"/>
      <c r="T4" s="357"/>
      <c r="U4" s="357"/>
    </row>
    <row r="5" spans="8:32">
      <c r="H5" s="357"/>
      <c r="I5" s="16" t="s">
        <v>61</v>
      </c>
      <c r="J5" s="349" t="s">
        <v>62</v>
      </c>
      <c r="K5" s="18"/>
      <c r="L5" s="184">
        <f>+K5*3</f>
        <v>0</v>
      </c>
      <c r="M5" s="117"/>
      <c r="N5" s="23">
        <v>0</v>
      </c>
      <c r="O5" s="330"/>
      <c r="P5" s="331"/>
      <c r="Q5" s="210"/>
      <c r="R5" s="211">
        <f>+L5+N5+P5+Q5</f>
        <v>0</v>
      </c>
      <c r="S5" s="7"/>
      <c r="T5" s="400">
        <v>828</v>
      </c>
      <c r="U5" s="401">
        <v>107.64</v>
      </c>
      <c r="V5" s="402">
        <v>720.36</v>
      </c>
      <c r="W5" s="280" t="s">
        <v>51</v>
      </c>
      <c r="Y5" s="289" t="s">
        <v>234</v>
      </c>
      <c r="Z5" s="169"/>
      <c r="AA5" s="169"/>
      <c r="AB5" s="169"/>
      <c r="AC5" s="169" t="s">
        <v>229</v>
      </c>
      <c r="AD5" s="169" t="s">
        <v>213</v>
      </c>
      <c r="AE5" s="169"/>
      <c r="AF5" s="169"/>
    </row>
    <row r="6" spans="8:32">
      <c r="H6" s="357"/>
      <c r="I6" s="113" t="s">
        <v>1</v>
      </c>
      <c r="J6" s="351" t="s">
        <v>56</v>
      </c>
      <c r="K6" s="120"/>
      <c r="L6" s="215">
        <f>+K6*3</f>
        <v>0</v>
      </c>
      <c r="M6" s="117"/>
      <c r="N6" s="31">
        <v>0</v>
      </c>
      <c r="O6" s="332"/>
      <c r="P6" s="333">
        <f>IF(O6&gt;25,150,(O6)*6)</f>
        <v>0</v>
      </c>
      <c r="Q6" s="196"/>
      <c r="R6" s="23">
        <f t="shared" ref="R6:R40" si="0">+L6+N6+P6+Q6</f>
        <v>0</v>
      </c>
      <c r="S6" s="7"/>
      <c r="T6" s="140">
        <f>+U6+V6</f>
        <v>827.58620689655174</v>
      </c>
      <c r="U6" s="284">
        <f>+U5*V6/V5</f>
        <v>107.58620689655173</v>
      </c>
      <c r="V6" s="141">
        <v>720</v>
      </c>
      <c r="W6" s="161"/>
      <c r="Y6" s="169" t="s">
        <v>228</v>
      </c>
      <c r="Z6" s="169" t="s">
        <v>227</v>
      </c>
      <c r="AA6" s="169"/>
      <c r="AB6" s="169"/>
      <c r="AC6" s="169" t="s">
        <v>226</v>
      </c>
      <c r="AD6" s="169" t="s">
        <v>213</v>
      </c>
      <c r="AE6" s="169"/>
      <c r="AF6" s="169"/>
    </row>
    <row r="7" spans="8:32">
      <c r="H7" s="357"/>
      <c r="I7" s="113" t="s">
        <v>2</v>
      </c>
      <c r="J7" s="351" t="s">
        <v>47</v>
      </c>
      <c r="K7" s="115"/>
      <c r="L7" s="215"/>
      <c r="M7" s="117"/>
      <c r="N7" s="31">
        <f>+M7*3</f>
        <v>0</v>
      </c>
      <c r="O7" s="332">
        <v>39</v>
      </c>
      <c r="P7" s="333">
        <f>IF(O7&gt;25,150,(O7)*6)</f>
        <v>150</v>
      </c>
      <c r="Q7" s="195"/>
      <c r="R7" s="31">
        <f t="shared" si="0"/>
        <v>150</v>
      </c>
      <c r="S7" s="7"/>
      <c r="T7" s="142">
        <f>+T5-T6</f>
        <v>0.41379310344825626</v>
      </c>
      <c r="U7" s="183"/>
      <c r="V7" s="143"/>
      <c r="W7" s="4" t="s">
        <v>145</v>
      </c>
      <c r="Y7" s="169" t="s">
        <v>225</v>
      </c>
      <c r="Z7" s="169" t="s">
        <v>224</v>
      </c>
      <c r="AA7" s="169" t="s">
        <v>223</v>
      </c>
      <c r="AB7" s="169">
        <v>43256</v>
      </c>
      <c r="AC7" s="169" t="s">
        <v>222</v>
      </c>
      <c r="AD7" s="169">
        <v>2018</v>
      </c>
      <c r="AE7" s="169"/>
      <c r="AF7" s="169"/>
    </row>
    <row r="8" spans="8:32">
      <c r="H8" s="357"/>
      <c r="I8" s="404" t="s">
        <v>0</v>
      </c>
      <c r="J8" s="350" t="s">
        <v>7</v>
      </c>
      <c r="K8" s="18"/>
      <c r="L8" s="213">
        <f>+K8*5</f>
        <v>0</v>
      </c>
      <c r="M8" s="22"/>
      <c r="N8" s="23">
        <f>5*M8</f>
        <v>0</v>
      </c>
      <c r="O8" s="330"/>
      <c r="P8" s="331">
        <v>0</v>
      </c>
      <c r="Q8" s="196"/>
      <c r="R8" s="23"/>
      <c r="S8" s="7"/>
      <c r="T8" s="144">
        <v>150</v>
      </c>
      <c r="U8" s="163">
        <f>+T8-T7</f>
        <v>149.58620689655174</v>
      </c>
      <c r="V8" s="164" t="s">
        <v>232</v>
      </c>
      <c r="W8" s="9">
        <f>150-U8</f>
        <v>0.41379310344825626</v>
      </c>
      <c r="Y8" s="169" t="s">
        <v>221</v>
      </c>
      <c r="Z8" s="169" t="s">
        <v>220</v>
      </c>
      <c r="AA8" s="169" t="s">
        <v>219</v>
      </c>
      <c r="AB8" s="169" t="s">
        <v>218</v>
      </c>
      <c r="AC8" s="169" t="s">
        <v>217</v>
      </c>
      <c r="AD8" s="169">
        <v>43348</v>
      </c>
      <c r="AE8" s="169"/>
      <c r="AF8" s="169"/>
    </row>
    <row r="9" spans="8:32">
      <c r="H9" s="357"/>
      <c r="I9" s="404" t="s">
        <v>5</v>
      </c>
      <c r="J9" s="352" t="s">
        <v>71</v>
      </c>
      <c r="K9" s="18"/>
      <c r="L9" s="213">
        <f>+K9*3</f>
        <v>0</v>
      </c>
      <c r="M9" s="405"/>
      <c r="N9" s="31">
        <f>+M9*3</f>
        <v>0</v>
      </c>
      <c r="O9" s="334">
        <v>27</v>
      </c>
      <c r="P9" s="333">
        <f t="shared" ref="P9:P26" si="1">IF(O9&gt;25,150,(O9)*6)</f>
        <v>150</v>
      </c>
      <c r="Q9" s="196"/>
      <c r="R9" s="31">
        <f t="shared" si="0"/>
        <v>150</v>
      </c>
      <c r="S9" s="7"/>
      <c r="T9" s="26"/>
      <c r="W9" s="162"/>
      <c r="Y9" s="267" t="s">
        <v>216</v>
      </c>
      <c r="Z9" s="267" t="s">
        <v>215</v>
      </c>
      <c r="AA9" s="267" t="s">
        <v>214</v>
      </c>
      <c r="AB9" s="267" t="s">
        <v>213</v>
      </c>
      <c r="AC9" s="267" t="s">
        <v>212</v>
      </c>
      <c r="AD9" s="267" t="s">
        <v>211</v>
      </c>
      <c r="AE9" s="267"/>
      <c r="AF9" s="267"/>
    </row>
    <row r="10" spans="8:32" ht="17.25" thickBot="1">
      <c r="H10" s="357"/>
      <c r="I10" s="404" t="s">
        <v>27</v>
      </c>
      <c r="J10" s="352" t="s">
        <v>28</v>
      </c>
      <c r="K10" s="18"/>
      <c r="L10" s="213">
        <v>0</v>
      </c>
      <c r="M10" s="405"/>
      <c r="N10" s="31">
        <v>0</v>
      </c>
      <c r="O10" s="334"/>
      <c r="P10" s="333">
        <f t="shared" si="1"/>
        <v>0</v>
      </c>
      <c r="Q10" s="195"/>
      <c r="R10" s="31">
        <f t="shared" si="0"/>
        <v>0</v>
      </c>
      <c r="S10" s="7"/>
      <c r="T10" s="400">
        <v>856</v>
      </c>
      <c r="U10" s="401">
        <v>110.51</v>
      </c>
      <c r="V10" s="402">
        <v>745.49</v>
      </c>
      <c r="W10" s="280" t="s">
        <v>50</v>
      </c>
      <c r="Y10" s="265" t="s">
        <v>210</v>
      </c>
      <c r="Z10" s="265" t="s">
        <v>209</v>
      </c>
      <c r="AA10" s="266" t="s">
        <v>208</v>
      </c>
      <c r="AB10" s="266" t="s">
        <v>207</v>
      </c>
      <c r="AC10" s="266" t="s">
        <v>206</v>
      </c>
      <c r="AD10" s="266" t="s">
        <v>205</v>
      </c>
      <c r="AE10" s="266" t="s">
        <v>204</v>
      </c>
      <c r="AF10" s="266" t="s">
        <v>203</v>
      </c>
    </row>
    <row r="11" spans="8:32">
      <c r="H11" s="375"/>
      <c r="I11" s="113" t="s">
        <v>8</v>
      </c>
      <c r="J11" s="351" t="s">
        <v>29</v>
      </c>
      <c r="K11" s="120"/>
      <c r="L11" s="116"/>
      <c r="M11" s="117"/>
      <c r="N11" s="31">
        <v>0</v>
      </c>
      <c r="O11" s="117">
        <v>10</v>
      </c>
      <c r="P11" s="333">
        <f t="shared" si="1"/>
        <v>60</v>
      </c>
      <c r="Q11" s="195"/>
      <c r="R11" s="31">
        <f t="shared" si="0"/>
        <v>60</v>
      </c>
      <c r="S11" s="7"/>
      <c r="T11" s="140">
        <f>+U11+V11</f>
        <v>826.7314115548163</v>
      </c>
      <c r="U11" s="284">
        <f>+U10*V11/V10</f>
        <v>106.73141155481629</v>
      </c>
      <c r="V11" s="141">
        <v>720</v>
      </c>
      <c r="W11" s="162"/>
      <c r="Y11" s="240" t="s">
        <v>202</v>
      </c>
      <c r="Z11" s="10" t="s">
        <v>201</v>
      </c>
      <c r="AA11" s="232">
        <v>43102</v>
      </c>
      <c r="AB11" s="239">
        <v>444</v>
      </c>
      <c r="AC11" s="281">
        <v>674</v>
      </c>
      <c r="AD11" s="239">
        <v>87.62</v>
      </c>
      <c r="AE11" s="239">
        <v>586.38</v>
      </c>
      <c r="AF11" s="238">
        <f t="shared" ref="AF11:AF26" si="2">720-AE11</f>
        <v>133.62</v>
      </c>
    </row>
    <row r="12" spans="8:32">
      <c r="H12" s="431"/>
      <c r="I12" s="113" t="s">
        <v>63</v>
      </c>
      <c r="J12" s="351" t="s">
        <v>33</v>
      </c>
      <c r="K12" s="120"/>
      <c r="L12" s="116"/>
      <c r="M12" s="117"/>
      <c r="N12" s="31">
        <f>+M12*3</f>
        <v>0</v>
      </c>
      <c r="O12" s="117">
        <v>37</v>
      </c>
      <c r="P12" s="333">
        <f t="shared" si="1"/>
        <v>150</v>
      </c>
      <c r="Q12" s="195"/>
      <c r="R12" s="31">
        <f t="shared" si="0"/>
        <v>150</v>
      </c>
      <c r="S12" s="7"/>
      <c r="T12" s="142">
        <f>+T10-T11</f>
        <v>29.268588445183696</v>
      </c>
      <c r="U12" s="183"/>
      <c r="V12" s="143"/>
      <c r="W12" s="4" t="s">
        <v>145</v>
      </c>
      <c r="Y12" s="240" t="s">
        <v>200</v>
      </c>
      <c r="Z12" s="10" t="s">
        <v>199</v>
      </c>
      <c r="AA12" s="232">
        <v>42837</v>
      </c>
      <c r="AB12" s="239">
        <v>204</v>
      </c>
      <c r="AC12" s="281">
        <v>344.8</v>
      </c>
      <c r="AD12" s="239">
        <v>44.82</v>
      </c>
      <c r="AE12" s="239">
        <v>299.98</v>
      </c>
      <c r="AF12" s="238">
        <f t="shared" si="2"/>
        <v>420.02</v>
      </c>
    </row>
    <row r="13" spans="8:32">
      <c r="H13" s="431"/>
      <c r="I13" s="113" t="s">
        <v>24</v>
      </c>
      <c r="J13" s="351" t="s">
        <v>30</v>
      </c>
      <c r="K13" s="120"/>
      <c r="L13" s="213">
        <f t="shared" ref="L13:L14" si="3">+K13*3</f>
        <v>0</v>
      </c>
      <c r="M13" s="117"/>
      <c r="N13" s="31">
        <v>0</v>
      </c>
      <c r="O13" s="117">
        <v>26</v>
      </c>
      <c r="P13" s="333">
        <f t="shared" si="1"/>
        <v>150</v>
      </c>
      <c r="Q13" s="195"/>
      <c r="R13" s="31">
        <f t="shared" si="0"/>
        <v>150</v>
      </c>
      <c r="S13" s="7"/>
      <c r="T13" s="144">
        <v>150</v>
      </c>
      <c r="U13" s="163">
        <f>+T13-T12</f>
        <v>120.7314115548163</v>
      </c>
      <c r="V13" s="164" t="s">
        <v>232</v>
      </c>
      <c r="W13" s="9">
        <f>150-U13</f>
        <v>29.268588445183696</v>
      </c>
      <c r="Y13" s="240" t="s">
        <v>198</v>
      </c>
      <c r="Z13" s="10" t="s">
        <v>143</v>
      </c>
      <c r="AA13" s="232">
        <v>42837</v>
      </c>
      <c r="AB13" s="239">
        <v>540</v>
      </c>
      <c r="AC13" s="281">
        <v>786</v>
      </c>
      <c r="AD13" s="239">
        <v>102.18</v>
      </c>
      <c r="AE13" s="239">
        <v>683.82</v>
      </c>
      <c r="AF13" s="238">
        <f t="shared" si="2"/>
        <v>36.17999999999995</v>
      </c>
    </row>
    <row r="14" spans="8:32">
      <c r="H14" s="431"/>
      <c r="I14" s="113" t="s">
        <v>18</v>
      </c>
      <c r="J14" s="432" t="s">
        <v>72</v>
      </c>
      <c r="K14" s="120"/>
      <c r="L14" s="213">
        <f t="shared" si="3"/>
        <v>0</v>
      </c>
      <c r="M14" s="117"/>
      <c r="N14" s="31">
        <f>+M14*3</f>
        <v>0</v>
      </c>
      <c r="O14" s="117">
        <v>14</v>
      </c>
      <c r="P14" s="333">
        <f t="shared" si="1"/>
        <v>84</v>
      </c>
      <c r="Q14" s="195"/>
      <c r="R14" s="31">
        <f t="shared" si="0"/>
        <v>84</v>
      </c>
      <c r="S14" s="7"/>
      <c r="T14" s="26"/>
      <c r="W14" s="162"/>
      <c r="Y14" s="240" t="s">
        <v>197</v>
      </c>
      <c r="Z14" s="10" t="s">
        <v>196</v>
      </c>
      <c r="AA14" s="232">
        <v>42046</v>
      </c>
      <c r="AB14" s="239">
        <v>274.27999999999997</v>
      </c>
      <c r="AC14" s="281">
        <v>323.58999999999997</v>
      </c>
      <c r="AD14" s="239">
        <v>42.07</v>
      </c>
      <c r="AE14" s="239">
        <v>281.52</v>
      </c>
      <c r="AF14" s="238">
        <f t="shared" si="2"/>
        <v>438.48</v>
      </c>
    </row>
    <row r="15" spans="8:32">
      <c r="H15" s="375"/>
      <c r="I15" s="113" t="s">
        <v>31</v>
      </c>
      <c r="J15" s="351" t="s">
        <v>32</v>
      </c>
      <c r="K15" s="120"/>
      <c r="L15" s="116"/>
      <c r="M15" s="117"/>
      <c r="N15" s="31">
        <f t="shared" ref="N15:N24" si="4">+M15*3</f>
        <v>0</v>
      </c>
      <c r="O15" s="117">
        <v>34</v>
      </c>
      <c r="P15" s="333">
        <f t="shared" si="1"/>
        <v>150</v>
      </c>
      <c r="Q15" s="195"/>
      <c r="R15" s="228">
        <f t="shared" si="0"/>
        <v>150</v>
      </c>
      <c r="S15" s="7"/>
      <c r="T15" s="400">
        <f>644+150</f>
        <v>794</v>
      </c>
      <c r="U15" s="401">
        <v>0</v>
      </c>
      <c r="V15" s="402">
        <v>769.08</v>
      </c>
      <c r="W15" s="378" t="s">
        <v>32</v>
      </c>
      <c r="Y15" s="240" t="s">
        <v>195</v>
      </c>
      <c r="Z15" s="10" t="s">
        <v>194</v>
      </c>
      <c r="AA15" s="232">
        <v>42801</v>
      </c>
      <c r="AB15" s="239">
        <v>144</v>
      </c>
      <c r="AC15" s="281">
        <v>243.6</v>
      </c>
      <c r="AD15" s="239">
        <v>31.67</v>
      </c>
      <c r="AE15" s="239">
        <v>211.93</v>
      </c>
      <c r="AF15" s="238">
        <f t="shared" si="2"/>
        <v>508.07</v>
      </c>
    </row>
    <row r="16" spans="8:32">
      <c r="H16" s="357"/>
      <c r="I16" s="404" t="s">
        <v>54</v>
      </c>
      <c r="J16" s="352" t="s">
        <v>55</v>
      </c>
      <c r="K16" s="18"/>
      <c r="L16" s="213">
        <f>+K16*3</f>
        <v>0</v>
      </c>
      <c r="M16" s="405"/>
      <c r="N16" s="31">
        <f t="shared" si="4"/>
        <v>0</v>
      </c>
      <c r="O16" s="334"/>
      <c r="P16" s="333">
        <f t="shared" si="1"/>
        <v>0</v>
      </c>
      <c r="Q16" s="195"/>
      <c r="R16" s="31">
        <f t="shared" si="0"/>
        <v>0</v>
      </c>
      <c r="S16" s="7"/>
      <c r="T16" s="140">
        <f>+U16+V16</f>
        <v>720</v>
      </c>
      <c r="U16" s="284">
        <f>+U15*V16/V15</f>
        <v>0</v>
      </c>
      <c r="V16" s="141">
        <v>720</v>
      </c>
      <c r="W16" s="162"/>
      <c r="Y16" s="240" t="s">
        <v>193</v>
      </c>
      <c r="Z16" s="10" t="s">
        <v>192</v>
      </c>
      <c r="AA16" s="232">
        <v>42499</v>
      </c>
      <c r="AB16" s="239">
        <v>12</v>
      </c>
      <c r="AC16" s="281">
        <v>21.2</v>
      </c>
      <c r="AD16" s="239">
        <v>2.76</v>
      </c>
      <c r="AE16" s="239">
        <v>18.440000000000001</v>
      </c>
      <c r="AF16" s="238">
        <f t="shared" si="2"/>
        <v>701.56</v>
      </c>
    </row>
    <row r="17" spans="1:32">
      <c r="H17" s="357"/>
      <c r="I17" s="113" t="s">
        <v>10</v>
      </c>
      <c r="J17" s="351" t="s">
        <v>34</v>
      </c>
      <c r="K17" s="115"/>
      <c r="L17" s="215"/>
      <c r="M17" s="117"/>
      <c r="N17" s="31">
        <f t="shared" si="4"/>
        <v>0</v>
      </c>
      <c r="O17" s="332"/>
      <c r="P17" s="333">
        <f t="shared" si="1"/>
        <v>0</v>
      </c>
      <c r="Q17" s="195"/>
      <c r="R17" s="31">
        <f t="shared" si="0"/>
        <v>0</v>
      </c>
      <c r="S17" s="7"/>
      <c r="T17" s="142">
        <f>+T15-T16</f>
        <v>74</v>
      </c>
      <c r="U17" s="183"/>
      <c r="V17" s="143"/>
      <c r="W17" s="4" t="s">
        <v>145</v>
      </c>
      <c r="Y17" s="245" t="s">
        <v>191</v>
      </c>
      <c r="Z17" s="244" t="s">
        <v>190</v>
      </c>
      <c r="AA17" s="243">
        <v>42046</v>
      </c>
      <c r="AB17" s="242">
        <v>696</v>
      </c>
      <c r="AC17" s="282">
        <v>968</v>
      </c>
      <c r="AD17" s="242">
        <v>125.45</v>
      </c>
      <c r="AE17" s="241">
        <v>842.55</v>
      </c>
      <c r="AF17" s="319">
        <f t="shared" si="2"/>
        <v>-122.54999999999995</v>
      </c>
    </row>
    <row r="18" spans="1:32">
      <c r="H18" s="375"/>
      <c r="I18" s="113" t="s">
        <v>9</v>
      </c>
      <c r="J18" s="351" t="s">
        <v>35</v>
      </c>
      <c r="K18" s="115"/>
      <c r="L18" s="116"/>
      <c r="M18" s="117"/>
      <c r="N18" s="31">
        <f t="shared" si="4"/>
        <v>0</v>
      </c>
      <c r="O18" s="117">
        <v>40</v>
      </c>
      <c r="P18" s="333">
        <f t="shared" si="1"/>
        <v>150</v>
      </c>
      <c r="Q18" s="195"/>
      <c r="R18" s="31">
        <f t="shared" si="0"/>
        <v>150</v>
      </c>
      <c r="S18" s="7"/>
      <c r="T18" s="144">
        <v>150</v>
      </c>
      <c r="U18" s="163">
        <f>+T18-T17</f>
        <v>76</v>
      </c>
      <c r="V18" s="164" t="s">
        <v>232</v>
      </c>
      <c r="W18" s="9">
        <f>150-U18</f>
        <v>74</v>
      </c>
      <c r="Y18" s="240" t="s">
        <v>189</v>
      </c>
      <c r="Z18" s="10" t="s">
        <v>188</v>
      </c>
      <c r="AA18" s="232">
        <v>43347</v>
      </c>
      <c r="AB18" s="239">
        <v>432</v>
      </c>
      <c r="AC18" s="281">
        <v>660</v>
      </c>
      <c r="AD18" s="239">
        <v>85.8</v>
      </c>
      <c r="AE18" s="239">
        <v>574.20000000000005</v>
      </c>
      <c r="AF18" s="238">
        <f t="shared" si="2"/>
        <v>145.79999999999995</v>
      </c>
    </row>
    <row r="19" spans="1:32">
      <c r="H19" s="375"/>
      <c r="I19" s="113" t="s">
        <v>36</v>
      </c>
      <c r="J19" s="351" t="s">
        <v>37</v>
      </c>
      <c r="K19" s="115"/>
      <c r="L19" s="116"/>
      <c r="M19" s="117"/>
      <c r="N19" s="31">
        <f t="shared" si="4"/>
        <v>0</v>
      </c>
      <c r="O19" s="117">
        <v>14</v>
      </c>
      <c r="P19" s="333">
        <f t="shared" si="1"/>
        <v>84</v>
      </c>
      <c r="Q19" s="195"/>
      <c r="R19" s="31">
        <f t="shared" si="0"/>
        <v>84</v>
      </c>
      <c r="S19" s="7"/>
      <c r="T19" s="26"/>
      <c r="W19" s="162"/>
      <c r="Y19" s="240" t="s">
        <v>187</v>
      </c>
      <c r="Z19" s="10" t="s">
        <v>186</v>
      </c>
      <c r="AA19" s="232">
        <v>42837</v>
      </c>
      <c r="AB19" s="239">
        <v>504</v>
      </c>
      <c r="AC19" s="281">
        <v>744</v>
      </c>
      <c r="AD19" s="239">
        <v>91.22</v>
      </c>
      <c r="AE19" s="239">
        <v>652.78</v>
      </c>
      <c r="AF19" s="238">
        <f t="shared" si="2"/>
        <v>67.220000000000027</v>
      </c>
    </row>
    <row r="20" spans="1:32">
      <c r="H20" s="357"/>
      <c r="I20" s="404" t="s">
        <v>64</v>
      </c>
      <c r="J20" s="352" t="s">
        <v>65</v>
      </c>
      <c r="K20" s="35"/>
      <c r="L20" s="213"/>
      <c r="M20" s="405"/>
      <c r="N20" s="31">
        <v>0</v>
      </c>
      <c r="O20" s="334">
        <v>37</v>
      </c>
      <c r="P20" s="333">
        <f t="shared" si="1"/>
        <v>150</v>
      </c>
      <c r="Q20" s="195"/>
      <c r="R20" s="31">
        <f t="shared" si="0"/>
        <v>150</v>
      </c>
      <c r="S20" s="7"/>
      <c r="T20" s="268"/>
      <c r="U20" s="269"/>
      <c r="V20" s="270"/>
      <c r="W20" s="271"/>
      <c r="Y20" s="240" t="s">
        <v>185</v>
      </c>
      <c r="Z20" s="10" t="s">
        <v>184</v>
      </c>
      <c r="AA20" s="232">
        <v>42125</v>
      </c>
      <c r="AB20" s="239">
        <v>432</v>
      </c>
      <c r="AC20" s="281">
        <v>660</v>
      </c>
      <c r="AD20" s="239">
        <v>80.92</v>
      </c>
      <c r="AE20" s="239">
        <v>579.08000000000004</v>
      </c>
      <c r="AF20" s="238">
        <f t="shared" si="2"/>
        <v>140.91999999999996</v>
      </c>
    </row>
    <row r="21" spans="1:32">
      <c r="H21" s="357"/>
      <c r="I21" s="404" t="s">
        <v>13</v>
      </c>
      <c r="J21" s="352" t="s">
        <v>38</v>
      </c>
      <c r="K21" s="35"/>
      <c r="L21" s="213"/>
      <c r="M21" s="405"/>
      <c r="N21" s="31">
        <f t="shared" si="4"/>
        <v>0</v>
      </c>
      <c r="O21" s="334">
        <v>2</v>
      </c>
      <c r="P21" s="333">
        <f t="shared" si="1"/>
        <v>12</v>
      </c>
      <c r="Q21" s="195"/>
      <c r="R21" s="31">
        <f t="shared" si="0"/>
        <v>12</v>
      </c>
      <c r="S21" s="7"/>
      <c r="T21" s="268"/>
      <c r="U21" s="269"/>
      <c r="V21" s="270"/>
      <c r="W21" s="273"/>
      <c r="Y21" s="245" t="s">
        <v>183</v>
      </c>
      <c r="Z21" s="244" t="s">
        <v>74</v>
      </c>
      <c r="AA21" s="243">
        <v>42499</v>
      </c>
      <c r="AB21" s="242">
        <v>576</v>
      </c>
      <c r="AC21" s="282">
        <v>828</v>
      </c>
      <c r="AD21" s="242">
        <v>107.64</v>
      </c>
      <c r="AE21" s="241">
        <v>720.36</v>
      </c>
      <c r="AF21" s="319">
        <f t="shared" si="2"/>
        <v>-0.36000000000001364</v>
      </c>
    </row>
    <row r="22" spans="1:32">
      <c r="H22" s="357"/>
      <c r="I22" s="404" t="s">
        <v>41</v>
      </c>
      <c r="J22" s="352" t="s">
        <v>42</v>
      </c>
      <c r="K22" s="35"/>
      <c r="L22" s="213"/>
      <c r="M22" s="405"/>
      <c r="N22" s="31">
        <f t="shared" si="4"/>
        <v>0</v>
      </c>
      <c r="O22" s="334">
        <v>35</v>
      </c>
      <c r="P22" s="333">
        <f t="shared" si="1"/>
        <v>150</v>
      </c>
      <c r="Q22" s="195"/>
      <c r="R22" s="31">
        <f t="shared" si="0"/>
        <v>150</v>
      </c>
      <c r="S22" s="7"/>
      <c r="T22" s="274"/>
      <c r="U22" s="269"/>
      <c r="V22" s="270"/>
      <c r="W22" s="275"/>
      <c r="Y22" s="245" t="s">
        <v>182</v>
      </c>
      <c r="Z22" s="244" t="s">
        <v>51</v>
      </c>
      <c r="AA22" s="243">
        <v>42375</v>
      </c>
      <c r="AB22" s="242">
        <v>624</v>
      </c>
      <c r="AC22" s="282">
        <v>884</v>
      </c>
      <c r="AD22" s="242">
        <v>114.92</v>
      </c>
      <c r="AE22" s="241">
        <v>769.08</v>
      </c>
      <c r="AF22" s="319">
        <f t="shared" si="2"/>
        <v>-49.080000000000041</v>
      </c>
    </row>
    <row r="23" spans="1:32">
      <c r="H23" s="357"/>
      <c r="I23" s="404" t="s">
        <v>26</v>
      </c>
      <c r="J23" s="352" t="s">
        <v>48</v>
      </c>
      <c r="K23" s="18"/>
      <c r="L23" s="213">
        <v>0</v>
      </c>
      <c r="M23" s="405"/>
      <c r="N23" s="31">
        <f t="shared" si="4"/>
        <v>0</v>
      </c>
      <c r="O23" s="334">
        <v>27</v>
      </c>
      <c r="P23" s="333">
        <f t="shared" si="1"/>
        <v>150</v>
      </c>
      <c r="Q23" s="195">
        <v>28</v>
      </c>
      <c r="R23" s="31">
        <f>+L23+N26+P23+Q23</f>
        <v>178</v>
      </c>
      <c r="S23" s="7"/>
      <c r="T23" s="268"/>
      <c r="U23" s="276"/>
      <c r="V23" s="270"/>
      <c r="W23" s="276"/>
      <c r="Y23" s="240" t="s">
        <v>181</v>
      </c>
      <c r="Z23" s="10" t="s">
        <v>180</v>
      </c>
      <c r="AA23" s="232">
        <v>42375</v>
      </c>
      <c r="AB23" s="239">
        <v>492</v>
      </c>
      <c r="AC23" s="281">
        <v>730</v>
      </c>
      <c r="AD23" s="239">
        <v>94.9</v>
      </c>
      <c r="AE23" s="239">
        <v>635.1</v>
      </c>
      <c r="AF23" s="238">
        <f t="shared" si="2"/>
        <v>84.899999999999977</v>
      </c>
    </row>
    <row r="24" spans="1:32">
      <c r="H24" s="357"/>
      <c r="I24" s="404" t="s">
        <v>67</v>
      </c>
      <c r="J24" s="350" t="s">
        <v>68</v>
      </c>
      <c r="K24" s="18"/>
      <c r="L24" s="213">
        <v>0</v>
      </c>
      <c r="M24" s="22"/>
      <c r="N24" s="31">
        <f t="shared" si="4"/>
        <v>0</v>
      </c>
      <c r="O24" s="330"/>
      <c r="P24" s="333">
        <f t="shared" si="1"/>
        <v>0</v>
      </c>
      <c r="Q24" s="196"/>
      <c r="R24" s="31">
        <f t="shared" si="0"/>
        <v>0</v>
      </c>
      <c r="S24" s="7"/>
      <c r="T24" s="268"/>
      <c r="U24" s="269"/>
      <c r="V24" s="270"/>
      <c r="W24" s="275"/>
      <c r="Y24" s="240" t="s">
        <v>179</v>
      </c>
      <c r="Z24" s="10" t="s">
        <v>49</v>
      </c>
      <c r="AA24" s="232">
        <v>42897</v>
      </c>
      <c r="AB24" s="239">
        <v>12</v>
      </c>
      <c r="AC24" s="281">
        <v>21.2</v>
      </c>
      <c r="AD24" s="239">
        <v>2.64</v>
      </c>
      <c r="AE24" s="239">
        <v>18.559999999999999</v>
      </c>
      <c r="AF24" s="238">
        <f t="shared" si="2"/>
        <v>701.44</v>
      </c>
    </row>
    <row r="25" spans="1:32">
      <c r="H25" s="357"/>
      <c r="I25" s="404" t="s">
        <v>21</v>
      </c>
      <c r="J25" s="350" t="s">
        <v>152</v>
      </c>
      <c r="K25" s="18"/>
      <c r="L25" s="213">
        <v>0</v>
      </c>
      <c r="M25" s="22"/>
      <c r="N25" s="31">
        <v>0</v>
      </c>
      <c r="O25" s="334">
        <v>22</v>
      </c>
      <c r="P25" s="333">
        <f t="shared" si="1"/>
        <v>132</v>
      </c>
      <c r="Q25" s="196"/>
      <c r="R25" s="31">
        <f t="shared" si="0"/>
        <v>132</v>
      </c>
      <c r="S25" s="7"/>
      <c r="T25" s="268"/>
      <c r="U25" s="269"/>
      <c r="V25" s="270"/>
      <c r="W25" s="271"/>
      <c r="Y25" s="240" t="s">
        <v>178</v>
      </c>
      <c r="Z25" s="10" t="s">
        <v>177</v>
      </c>
      <c r="AA25" s="232" t="s">
        <v>176</v>
      </c>
      <c r="AB25" s="239">
        <v>444</v>
      </c>
      <c r="AC25" s="281">
        <v>674</v>
      </c>
      <c r="AD25" s="239">
        <v>87.62</v>
      </c>
      <c r="AE25" s="239">
        <v>586.38</v>
      </c>
      <c r="AF25" s="238">
        <f t="shared" si="2"/>
        <v>133.62</v>
      </c>
    </row>
    <row r="26" spans="1:32">
      <c r="H26" s="375"/>
      <c r="I26" s="113" t="s">
        <v>43</v>
      </c>
      <c r="J26" s="351" t="s">
        <v>73</v>
      </c>
      <c r="K26" s="115"/>
      <c r="L26" s="213">
        <v>0</v>
      </c>
      <c r="M26" s="117"/>
      <c r="N26" s="31">
        <f>+M23*3</f>
        <v>0</v>
      </c>
      <c r="O26" s="117">
        <v>35</v>
      </c>
      <c r="P26" s="31">
        <f t="shared" si="1"/>
        <v>150</v>
      </c>
      <c r="Q26" s="195"/>
      <c r="R26" s="31">
        <f>+L26+N28+P26+Q26</f>
        <v>150</v>
      </c>
      <c r="S26" s="7"/>
      <c r="T26" s="268"/>
      <c r="U26" s="269"/>
      <c r="V26" s="270"/>
      <c r="W26" s="271"/>
      <c r="Y26" s="240" t="s">
        <v>175</v>
      </c>
      <c r="Z26" s="10" t="s">
        <v>57</v>
      </c>
      <c r="AA26" s="232">
        <v>42889</v>
      </c>
      <c r="AB26" s="239">
        <v>528</v>
      </c>
      <c r="AC26" s="281">
        <v>772</v>
      </c>
      <c r="AD26" s="239">
        <v>90.63</v>
      </c>
      <c r="AE26" s="239">
        <v>681.37</v>
      </c>
      <c r="AF26" s="238">
        <f t="shared" si="2"/>
        <v>38.629999999999995</v>
      </c>
    </row>
    <row r="27" spans="1:32">
      <c r="H27" s="358"/>
      <c r="I27" s="113" t="s">
        <v>44</v>
      </c>
      <c r="J27" s="351" t="s">
        <v>45</v>
      </c>
      <c r="K27" s="120"/>
      <c r="L27" s="215">
        <f>+K27*3</f>
        <v>0</v>
      </c>
      <c r="M27" s="117"/>
      <c r="N27" s="31">
        <v>0</v>
      </c>
      <c r="O27" s="332">
        <v>31</v>
      </c>
      <c r="P27" s="333">
        <f>IF(O27&gt;25,150,(O27)*6)</f>
        <v>150</v>
      </c>
      <c r="Q27" s="196"/>
      <c r="R27" s="23">
        <f t="shared" si="0"/>
        <v>150</v>
      </c>
      <c r="S27" s="7"/>
      <c r="T27" s="274"/>
      <c r="U27" s="269"/>
      <c r="V27" s="270"/>
      <c r="W27" s="271"/>
      <c r="Y27" s="130"/>
      <c r="Z27" s="237"/>
      <c r="AA27" s="236"/>
      <c r="AB27" s="235">
        <f>SUM(AB11:AB26)</f>
        <v>6358.28</v>
      </c>
      <c r="AC27" s="283">
        <f>SUM(AC11:AC26)</f>
        <v>9334.39</v>
      </c>
      <c r="AD27" s="235">
        <f>SUM(AD11:AD26)</f>
        <v>1192.8600000000001</v>
      </c>
      <c r="AE27" s="235">
        <f>SUM(AE11:AE26)</f>
        <v>8141.53</v>
      </c>
      <c r="AF27" s="234"/>
    </row>
    <row r="28" spans="1:32">
      <c r="A28" s="4"/>
      <c r="B28" s="4"/>
      <c r="C28" s="4"/>
      <c r="D28" s="3"/>
      <c r="E28" s="4"/>
      <c r="F28" s="166"/>
      <c r="G28" s="4"/>
      <c r="H28" s="358"/>
      <c r="I28" s="113" t="s">
        <v>14</v>
      </c>
      <c r="J28" s="351" t="s">
        <v>66</v>
      </c>
      <c r="K28" s="120"/>
      <c r="L28" s="215">
        <f>+K28*3</f>
        <v>0</v>
      </c>
      <c r="M28" s="117"/>
      <c r="N28" s="31">
        <f>+M26*3</f>
        <v>0</v>
      </c>
      <c r="O28" s="332">
        <v>33</v>
      </c>
      <c r="P28" s="333">
        <f>IF(O28&gt;25,150,(O28)*6)</f>
        <v>150</v>
      </c>
      <c r="Q28" s="196"/>
      <c r="R28" s="23">
        <f t="shared" si="0"/>
        <v>150</v>
      </c>
      <c r="S28" s="7"/>
      <c r="T28" s="268"/>
      <c r="U28" s="276"/>
      <c r="V28" s="270"/>
      <c r="W28" s="271"/>
      <c r="Y28" s="233"/>
      <c r="Z28" s="10"/>
      <c r="AA28" s="232"/>
      <c r="AB28" s="231"/>
      <c r="AC28" s="231"/>
      <c r="AD28" s="231"/>
      <c r="AE28" s="231"/>
      <c r="AF28" s="230"/>
    </row>
    <row r="29" spans="1:32">
      <c r="H29" s="357"/>
      <c r="I29" s="404" t="s">
        <v>15</v>
      </c>
      <c r="J29" s="350" t="s">
        <v>16</v>
      </c>
      <c r="K29" s="18"/>
      <c r="L29" s="213">
        <f>+K29*3</f>
        <v>0</v>
      </c>
      <c r="M29" s="405"/>
      <c r="N29" s="23">
        <f>5*M29</f>
        <v>0</v>
      </c>
      <c r="O29" s="334"/>
      <c r="P29" s="331">
        <f t="shared" ref="P29:P39" si="5">IF(O29&gt;25,150,(O29)*6)</f>
        <v>0</v>
      </c>
      <c r="Q29" s="196"/>
      <c r="R29" s="23">
        <f t="shared" si="0"/>
        <v>0</v>
      </c>
      <c r="S29" s="7"/>
      <c r="T29" s="268"/>
      <c r="U29" s="269"/>
      <c r="V29" s="270"/>
      <c r="W29" s="271"/>
      <c r="Y29" s="289" t="s">
        <v>233</v>
      </c>
      <c r="Z29" s="264"/>
      <c r="AA29" s="264"/>
      <c r="AB29" s="264"/>
      <c r="AC29" s="250" t="s">
        <v>229</v>
      </c>
      <c r="AD29" s="249" t="s">
        <v>213</v>
      </c>
      <c r="AE29" s="249"/>
    </row>
    <row r="30" spans="1:32">
      <c r="H30" s="357"/>
      <c r="I30" s="404" t="s">
        <v>17</v>
      </c>
      <c r="J30" s="352" t="s">
        <v>119</v>
      </c>
      <c r="K30" s="35"/>
      <c r="L30" s="213"/>
      <c r="M30" s="405"/>
      <c r="N30" s="31">
        <v>0</v>
      </c>
      <c r="O30" s="334">
        <v>30</v>
      </c>
      <c r="P30" s="333">
        <f t="shared" si="5"/>
        <v>150</v>
      </c>
      <c r="Q30" s="195"/>
      <c r="R30" s="31">
        <f t="shared" si="0"/>
        <v>150</v>
      </c>
      <c r="S30" s="7"/>
      <c r="T30" s="268"/>
      <c r="U30" s="269"/>
      <c r="V30" s="270"/>
      <c r="W30" s="271"/>
      <c r="Y30" s="259" t="s">
        <v>228</v>
      </c>
      <c r="Z30" s="263" t="s">
        <v>227</v>
      </c>
      <c r="AA30" s="262"/>
      <c r="AB30" s="262"/>
      <c r="AC30" s="250" t="s">
        <v>226</v>
      </c>
      <c r="AD30" s="261" t="s">
        <v>213</v>
      </c>
      <c r="AE30" s="261"/>
    </row>
    <row r="31" spans="1:32">
      <c r="H31" s="357"/>
      <c r="I31" s="113" t="s">
        <v>75</v>
      </c>
      <c r="J31" s="351" t="s">
        <v>76</v>
      </c>
      <c r="K31" s="115"/>
      <c r="L31" s="215"/>
      <c r="M31" s="117"/>
      <c r="N31" s="31">
        <f>+M31*3</f>
        <v>0</v>
      </c>
      <c r="O31" s="332"/>
      <c r="P31" s="333">
        <f t="shared" si="5"/>
        <v>0</v>
      </c>
      <c r="Q31" s="195"/>
      <c r="R31" s="31">
        <f t="shared" si="0"/>
        <v>0</v>
      </c>
      <c r="S31" s="7"/>
      <c r="T31" s="268"/>
      <c r="U31" s="269"/>
      <c r="V31" s="270"/>
      <c r="W31" s="275"/>
      <c r="Y31" s="259" t="s">
        <v>225</v>
      </c>
      <c r="Z31" s="251" t="s">
        <v>224</v>
      </c>
      <c r="AA31" s="250" t="s">
        <v>223</v>
      </c>
      <c r="AB31" s="255">
        <v>43256</v>
      </c>
      <c r="AC31" s="258" t="s">
        <v>222</v>
      </c>
      <c r="AD31" s="257">
        <v>2018</v>
      </c>
      <c r="AE31" s="10"/>
    </row>
    <row r="32" spans="1:32" s="4" customFormat="1">
      <c r="A32"/>
      <c r="B32"/>
      <c r="C32"/>
      <c r="D32" s="1"/>
      <c r="E32"/>
      <c r="F32" s="2"/>
      <c r="G32"/>
      <c r="H32" s="357"/>
      <c r="I32" s="113" t="s">
        <v>146</v>
      </c>
      <c r="J32" s="351" t="s">
        <v>55</v>
      </c>
      <c r="K32" s="115"/>
      <c r="L32" s="215"/>
      <c r="M32" s="117"/>
      <c r="N32" s="31">
        <v>0</v>
      </c>
      <c r="O32" s="332"/>
      <c r="P32" s="333">
        <f t="shared" si="5"/>
        <v>0</v>
      </c>
      <c r="Q32" s="195"/>
      <c r="R32" s="31">
        <f t="shared" si="0"/>
        <v>0</v>
      </c>
      <c r="S32" s="7"/>
      <c r="T32" s="274"/>
      <c r="U32" s="269"/>
      <c r="V32" s="270"/>
      <c r="W32" s="278"/>
      <c r="Y32" s="252" t="s">
        <v>221</v>
      </c>
      <c r="Z32" s="251" t="s">
        <v>220</v>
      </c>
      <c r="AA32" s="250" t="s">
        <v>219</v>
      </c>
      <c r="AB32" s="254" t="s">
        <v>218</v>
      </c>
      <c r="AC32" s="250" t="s">
        <v>217</v>
      </c>
      <c r="AD32" s="255">
        <v>43348</v>
      </c>
      <c r="AE32" s="249"/>
    </row>
    <row r="33" spans="8:31">
      <c r="H33" s="357"/>
      <c r="I33" s="113" t="s">
        <v>69</v>
      </c>
      <c r="J33" s="351" t="s">
        <v>70</v>
      </c>
      <c r="K33" s="115"/>
      <c r="L33" s="215">
        <v>0</v>
      </c>
      <c r="M33" s="117"/>
      <c r="N33" s="31">
        <f>+M33*3</f>
        <v>0</v>
      </c>
      <c r="O33" s="332">
        <v>11</v>
      </c>
      <c r="P33" s="333">
        <f t="shared" si="5"/>
        <v>66</v>
      </c>
      <c r="Q33" s="195"/>
      <c r="R33" s="31">
        <f t="shared" si="0"/>
        <v>66</v>
      </c>
      <c r="S33" s="7"/>
      <c r="T33" s="268"/>
      <c r="U33" s="276"/>
      <c r="V33" s="277"/>
      <c r="W33" s="279"/>
      <c r="Y33" s="252" t="s">
        <v>216</v>
      </c>
      <c r="Z33" s="251" t="s">
        <v>215</v>
      </c>
      <c r="AA33" s="250" t="s">
        <v>214</v>
      </c>
      <c r="AB33" s="249" t="s">
        <v>213</v>
      </c>
      <c r="AC33" s="250" t="s">
        <v>212</v>
      </c>
      <c r="AD33" s="249" t="s">
        <v>211</v>
      </c>
      <c r="AE33" s="249"/>
    </row>
    <row r="34" spans="8:31" ht="17.25" thickBot="1">
      <c r="H34" s="357"/>
      <c r="I34" s="404" t="s">
        <v>91</v>
      </c>
      <c r="J34" s="352" t="s">
        <v>92</v>
      </c>
      <c r="K34" s="35"/>
      <c r="L34" s="213">
        <v>0</v>
      </c>
      <c r="M34" s="405"/>
      <c r="N34" s="31">
        <f>+M34*3</f>
        <v>0</v>
      </c>
      <c r="O34" s="334">
        <v>9</v>
      </c>
      <c r="P34" s="333">
        <f t="shared" si="5"/>
        <v>54</v>
      </c>
      <c r="Q34" s="195"/>
      <c r="R34" s="31">
        <f t="shared" si="0"/>
        <v>54</v>
      </c>
      <c r="S34" s="7"/>
      <c r="T34" s="268"/>
      <c r="U34" s="269"/>
      <c r="V34" s="270"/>
      <c r="W34" s="275"/>
      <c r="Y34" s="247" t="s">
        <v>210</v>
      </c>
      <c r="Z34" s="247" t="s">
        <v>209</v>
      </c>
      <c r="AA34" s="246" t="s">
        <v>208</v>
      </c>
      <c r="AB34" s="246" t="s">
        <v>207</v>
      </c>
      <c r="AC34" s="246" t="s">
        <v>206</v>
      </c>
      <c r="AD34" s="246" t="s">
        <v>205</v>
      </c>
      <c r="AE34" s="246" t="s">
        <v>204</v>
      </c>
    </row>
    <row r="35" spans="8:31">
      <c r="H35" s="357"/>
      <c r="I35" s="404" t="s">
        <v>93</v>
      </c>
      <c r="J35" s="350" t="s">
        <v>94</v>
      </c>
      <c r="K35" s="18"/>
      <c r="L35" s="213">
        <v>0</v>
      </c>
      <c r="M35" s="405"/>
      <c r="N35" s="31">
        <v>0</v>
      </c>
      <c r="O35" s="334"/>
      <c r="P35" s="333">
        <f t="shared" si="5"/>
        <v>0</v>
      </c>
      <c r="Q35" s="196"/>
      <c r="R35" s="31">
        <f t="shared" si="0"/>
        <v>0</v>
      </c>
      <c r="S35" s="7"/>
      <c r="T35" s="268"/>
      <c r="U35" s="269"/>
      <c r="V35" s="270"/>
      <c r="W35" s="271"/>
      <c r="Y35" s="240" t="s">
        <v>202</v>
      </c>
      <c r="Z35" s="10" t="s">
        <v>201</v>
      </c>
      <c r="AA35" s="232">
        <v>43102</v>
      </c>
      <c r="AB35" s="239">
        <v>444</v>
      </c>
      <c r="AC35" s="239">
        <v>674</v>
      </c>
      <c r="AD35" s="239">
        <v>87.62</v>
      </c>
      <c r="AE35" s="239">
        <v>586.38</v>
      </c>
    </row>
    <row r="36" spans="8:31">
      <c r="H36" s="357"/>
      <c r="I36" s="404" t="s">
        <v>120</v>
      </c>
      <c r="J36" s="350" t="s">
        <v>121</v>
      </c>
      <c r="K36" s="18"/>
      <c r="L36" s="213">
        <v>0</v>
      </c>
      <c r="M36" s="405"/>
      <c r="N36" s="31">
        <v>0</v>
      </c>
      <c r="O36" s="334"/>
      <c r="P36" s="333">
        <f t="shared" si="5"/>
        <v>0</v>
      </c>
      <c r="Q36" s="196"/>
      <c r="R36" s="31">
        <f t="shared" si="0"/>
        <v>0</v>
      </c>
      <c r="S36" s="7"/>
      <c r="T36" s="268"/>
      <c r="U36" s="269"/>
      <c r="V36" s="272"/>
      <c r="W36" s="273"/>
      <c r="Y36" s="240" t="s">
        <v>200</v>
      </c>
      <c r="Z36" s="10" t="s">
        <v>199</v>
      </c>
      <c r="AA36" s="232">
        <v>42837</v>
      </c>
      <c r="AB36" s="239">
        <v>204</v>
      </c>
      <c r="AC36" s="239">
        <v>344.8</v>
      </c>
      <c r="AD36" s="239">
        <v>44.82</v>
      </c>
      <c r="AE36" s="239">
        <v>299.98</v>
      </c>
    </row>
    <row r="37" spans="8:31">
      <c r="H37" s="357"/>
      <c r="I37" s="404" t="s">
        <v>125</v>
      </c>
      <c r="J37" s="350" t="s">
        <v>126</v>
      </c>
      <c r="K37" s="18"/>
      <c r="L37" s="213">
        <v>0</v>
      </c>
      <c r="M37" s="405"/>
      <c r="N37" s="31">
        <v>0</v>
      </c>
      <c r="O37" s="334">
        <v>34</v>
      </c>
      <c r="P37" s="333">
        <f t="shared" si="5"/>
        <v>150</v>
      </c>
      <c r="Q37" s="196"/>
      <c r="R37" s="31">
        <f t="shared" si="0"/>
        <v>150</v>
      </c>
      <c r="S37" s="7"/>
      <c r="T37" s="274"/>
      <c r="U37" s="269"/>
      <c r="V37" s="270"/>
      <c r="W37" s="275"/>
      <c r="Y37" s="240" t="s">
        <v>198</v>
      </c>
      <c r="Z37" s="10" t="s">
        <v>143</v>
      </c>
      <c r="AA37" s="232">
        <v>42837</v>
      </c>
      <c r="AB37" s="239">
        <v>540</v>
      </c>
      <c r="AC37" s="239">
        <v>786</v>
      </c>
      <c r="AD37" s="239">
        <v>102.18</v>
      </c>
      <c r="AE37" s="239">
        <v>683.82</v>
      </c>
    </row>
    <row r="38" spans="8:31">
      <c r="H38" s="357"/>
      <c r="I38" s="404" t="s">
        <v>158</v>
      </c>
      <c r="J38" s="350" t="s">
        <v>159</v>
      </c>
      <c r="K38" s="18"/>
      <c r="L38" s="213">
        <v>0</v>
      </c>
      <c r="M38" s="22"/>
      <c r="N38" s="31">
        <f>+M38*3</f>
        <v>0</v>
      </c>
      <c r="O38" s="330"/>
      <c r="P38" s="333">
        <f t="shared" ref="P38" si="6">IF(O38&gt;25,150,(O38)*6)</f>
        <v>0</v>
      </c>
      <c r="Q38" s="196"/>
      <c r="R38" s="31">
        <f t="shared" ref="R38" si="7">+L38+N38+P38+Q38</f>
        <v>0</v>
      </c>
      <c r="S38" s="7"/>
      <c r="T38" s="268"/>
      <c r="U38" s="276"/>
      <c r="V38" s="277"/>
      <c r="W38" s="276"/>
      <c r="Y38" s="240" t="s">
        <v>197</v>
      </c>
      <c r="Z38" s="10" t="s">
        <v>196</v>
      </c>
      <c r="AA38" s="232">
        <v>42046</v>
      </c>
      <c r="AB38" s="239">
        <v>274.27999999999997</v>
      </c>
      <c r="AC38" s="239">
        <v>323.58999999999997</v>
      </c>
      <c r="AD38" s="239">
        <v>42.07</v>
      </c>
      <c r="AE38" s="239">
        <v>281.52</v>
      </c>
    </row>
    <row r="39" spans="8:31">
      <c r="H39" s="357"/>
      <c r="I39" s="406" t="s">
        <v>268</v>
      </c>
      <c r="J39" s="382" t="s">
        <v>269</v>
      </c>
      <c r="K39" s="51"/>
      <c r="L39" s="383">
        <v>0</v>
      </c>
      <c r="M39" s="384"/>
      <c r="N39" s="54">
        <f>+M39*3</f>
        <v>0</v>
      </c>
      <c r="O39" s="385"/>
      <c r="P39" s="386">
        <f t="shared" si="5"/>
        <v>0</v>
      </c>
      <c r="Q39" s="387"/>
      <c r="R39" s="54">
        <f t="shared" si="0"/>
        <v>0</v>
      </c>
      <c r="S39" s="7"/>
      <c r="T39" s="268"/>
      <c r="U39" s="269"/>
      <c r="V39" s="270"/>
      <c r="W39" s="275"/>
      <c r="Y39" s="240" t="s">
        <v>195</v>
      </c>
      <c r="Z39" s="10" t="s">
        <v>194</v>
      </c>
      <c r="AA39" s="232">
        <v>42801</v>
      </c>
      <c r="AB39" s="239">
        <v>144</v>
      </c>
      <c r="AC39" s="239">
        <v>243.6</v>
      </c>
      <c r="AD39" s="239">
        <v>31.67</v>
      </c>
      <c r="AE39" s="239">
        <v>211.93</v>
      </c>
    </row>
    <row r="40" spans="8:31">
      <c r="I40" s="41"/>
      <c r="J40" s="42"/>
      <c r="K40" s="65">
        <f>SUM(K5:K39)</f>
        <v>0</v>
      </c>
      <c r="L40" s="66">
        <f>SUM(L5:L39)</f>
        <v>0</v>
      </c>
      <c r="M40" s="56">
        <f>SUM(M5:M39)</f>
        <v>0</v>
      </c>
      <c r="N40" s="58">
        <f>SUM(N5:N39)</f>
        <v>0</v>
      </c>
      <c r="O40" s="335">
        <f>SUM(O5:O39)</f>
        <v>547</v>
      </c>
      <c r="P40" s="336">
        <f>SUM(P5:P39)</f>
        <v>2592</v>
      </c>
      <c r="Q40" s="58">
        <f>SUM(Q5:Q39)</f>
        <v>28</v>
      </c>
      <c r="R40" s="57">
        <f t="shared" si="0"/>
        <v>2620</v>
      </c>
      <c r="S40" s="7"/>
      <c r="T40" s="268"/>
      <c r="U40" s="269"/>
      <c r="V40" s="270"/>
      <c r="W40" s="271"/>
      <c r="Y40" s="240" t="s">
        <v>193</v>
      </c>
      <c r="Z40" s="10" t="s">
        <v>192</v>
      </c>
      <c r="AA40" s="232">
        <v>42499</v>
      </c>
      <c r="AB40" s="239">
        <v>12</v>
      </c>
      <c r="AC40" s="239">
        <v>21.2</v>
      </c>
      <c r="AD40" s="239">
        <v>2.76</v>
      </c>
      <c r="AE40" s="239">
        <v>18.440000000000001</v>
      </c>
    </row>
    <row r="41" spans="8:31">
      <c r="L41" s="167" t="s">
        <v>105</v>
      </c>
      <c r="M41" s="168">
        <v>245</v>
      </c>
      <c r="N41" s="167" t="s">
        <v>105</v>
      </c>
      <c r="O41" s="168"/>
      <c r="P41" s="175">
        <f>+P42-P40</f>
        <v>96</v>
      </c>
      <c r="Q41" s="168"/>
      <c r="R41" s="175">
        <f>+R11+R15-R11-R15</f>
        <v>0</v>
      </c>
      <c r="S41" s="7"/>
      <c r="T41" s="268"/>
      <c r="U41" s="269"/>
      <c r="V41" s="272"/>
      <c r="W41" s="270"/>
      <c r="Y41" s="285" t="s">
        <v>191</v>
      </c>
      <c r="Z41" s="286" t="s">
        <v>190</v>
      </c>
      <c r="AA41" s="287">
        <v>42046</v>
      </c>
      <c r="AB41" s="282">
        <v>696</v>
      </c>
      <c r="AC41" s="282">
        <v>827.2</v>
      </c>
      <c r="AD41" s="282">
        <v>107.21</v>
      </c>
      <c r="AE41" s="288">
        <v>719.99</v>
      </c>
    </row>
    <row r="42" spans="8:31">
      <c r="L42" s="169"/>
      <c r="M42" s="170">
        <f>+M40-M41</f>
        <v>-245</v>
      </c>
      <c r="N42" s="171" t="s">
        <v>147</v>
      </c>
      <c r="O42" s="169"/>
      <c r="P42" s="169">
        <v>2688</v>
      </c>
      <c r="Q42" s="393" t="s">
        <v>133</v>
      </c>
      <c r="R42" s="392">
        <f>+R40-R41</f>
        <v>2620</v>
      </c>
      <c r="S42" s="7"/>
      <c r="T42" s="268"/>
      <c r="U42" s="269"/>
      <c r="V42" s="272"/>
      <c r="W42" s="270"/>
      <c r="Y42" s="240" t="s">
        <v>189</v>
      </c>
      <c r="Z42" s="10" t="s">
        <v>188</v>
      </c>
      <c r="AA42" s="232">
        <v>43347</v>
      </c>
      <c r="AB42" s="239">
        <v>432</v>
      </c>
      <c r="AC42" s="239">
        <v>660</v>
      </c>
      <c r="AD42" s="239">
        <v>85.8</v>
      </c>
      <c r="AE42" s="239">
        <v>574.20000000000005</v>
      </c>
    </row>
    <row r="43" spans="8:31">
      <c r="T43" s="274"/>
      <c r="U43" s="269"/>
      <c r="V43" s="270"/>
      <c r="W43" s="278"/>
      <c r="Y43" s="240" t="s">
        <v>187</v>
      </c>
      <c r="Z43" s="10" t="s">
        <v>186</v>
      </c>
      <c r="AA43" s="232">
        <v>42837</v>
      </c>
      <c r="AB43" s="239">
        <v>504</v>
      </c>
      <c r="AC43" s="239">
        <v>744</v>
      </c>
      <c r="AD43" s="239">
        <v>91.22</v>
      </c>
      <c r="AE43" s="239">
        <v>652.78</v>
      </c>
    </row>
    <row r="44" spans="8:31">
      <c r="T44" s="268"/>
      <c r="U44" s="276"/>
      <c r="V44" s="277"/>
      <c r="W44" s="279"/>
      <c r="Y44" s="240" t="s">
        <v>185</v>
      </c>
      <c r="Z44" s="10" t="s">
        <v>184</v>
      </c>
      <c r="AA44" s="232">
        <v>42125</v>
      </c>
      <c r="AB44" s="239">
        <v>432</v>
      </c>
      <c r="AC44" s="239">
        <v>660</v>
      </c>
      <c r="AD44" s="239">
        <v>80.92</v>
      </c>
      <c r="AE44" s="239">
        <v>579.08000000000004</v>
      </c>
    </row>
    <row r="45" spans="8:31">
      <c r="P45" s="67"/>
      <c r="T45" s="270"/>
      <c r="U45" s="269"/>
      <c r="V45" s="270"/>
      <c r="W45" s="270"/>
      <c r="Y45" s="285" t="s">
        <v>183</v>
      </c>
      <c r="Z45" s="286" t="s">
        <v>74</v>
      </c>
      <c r="AA45" s="287">
        <v>42499</v>
      </c>
      <c r="AB45" s="282">
        <v>576</v>
      </c>
      <c r="AC45" s="282">
        <v>827.59</v>
      </c>
      <c r="AD45" s="282">
        <v>107.59</v>
      </c>
      <c r="AE45" s="288">
        <v>720</v>
      </c>
    </row>
    <row r="46" spans="8:31">
      <c r="P46" s="67"/>
      <c r="T46" s="270"/>
      <c r="U46" s="269"/>
      <c r="V46" s="270"/>
      <c r="W46" s="270"/>
      <c r="Y46" s="285" t="s">
        <v>182</v>
      </c>
      <c r="Z46" s="286" t="s">
        <v>51</v>
      </c>
      <c r="AA46" s="287">
        <v>42375</v>
      </c>
      <c r="AB46" s="282">
        <v>624</v>
      </c>
      <c r="AC46" s="282">
        <v>827.6</v>
      </c>
      <c r="AD46" s="282">
        <v>107.59</v>
      </c>
      <c r="AE46" s="288">
        <v>720.01</v>
      </c>
    </row>
    <row r="47" spans="8:31">
      <c r="T47" s="270"/>
      <c r="U47" s="269"/>
      <c r="V47" s="270"/>
      <c r="W47" s="270"/>
      <c r="Y47" s="240" t="s">
        <v>181</v>
      </c>
      <c r="Z47" s="10" t="s">
        <v>180</v>
      </c>
      <c r="AA47" s="232">
        <v>42375</v>
      </c>
      <c r="AB47" s="239">
        <v>492</v>
      </c>
      <c r="AC47" s="239">
        <v>730</v>
      </c>
      <c r="AD47" s="239">
        <v>94.9</v>
      </c>
      <c r="AE47" s="239">
        <v>635.1</v>
      </c>
    </row>
    <row r="48" spans="8:31">
      <c r="T48" s="270"/>
      <c r="U48" s="269"/>
      <c r="V48" s="270"/>
      <c r="W48" s="270"/>
      <c r="Y48" s="240" t="s">
        <v>179</v>
      </c>
      <c r="Z48" s="10" t="s">
        <v>49</v>
      </c>
      <c r="AA48" s="232">
        <v>42897</v>
      </c>
      <c r="AB48" s="239">
        <v>12</v>
      </c>
      <c r="AC48" s="239">
        <v>21.2</v>
      </c>
      <c r="AD48" s="239">
        <v>2.64</v>
      </c>
      <c r="AE48" s="239">
        <v>18.559999999999999</v>
      </c>
    </row>
    <row r="49" spans="20:35">
      <c r="T49" s="270"/>
      <c r="U49" s="269"/>
      <c r="V49" s="270"/>
      <c r="W49" s="270"/>
      <c r="Y49" s="240" t="s">
        <v>178</v>
      </c>
      <c r="Z49" s="10" t="s">
        <v>177</v>
      </c>
      <c r="AA49" s="232" t="s">
        <v>176</v>
      </c>
      <c r="AB49" s="239">
        <v>444</v>
      </c>
      <c r="AC49" s="239">
        <v>674</v>
      </c>
      <c r="AD49" s="239">
        <v>87.62</v>
      </c>
      <c r="AE49" s="239">
        <v>586.38</v>
      </c>
    </row>
    <row r="50" spans="20:35">
      <c r="T50" s="270"/>
      <c r="U50" s="269"/>
      <c r="V50" s="270"/>
      <c r="W50" s="270"/>
      <c r="Y50" s="240" t="s">
        <v>175</v>
      </c>
      <c r="Z50" s="10" t="s">
        <v>57</v>
      </c>
      <c r="AA50" s="232">
        <v>42889</v>
      </c>
      <c r="AB50" s="239">
        <v>528</v>
      </c>
      <c r="AC50" s="239">
        <v>772</v>
      </c>
      <c r="AD50" s="239">
        <v>90.63</v>
      </c>
      <c r="AE50" s="239">
        <v>681.37</v>
      </c>
    </row>
    <row r="51" spans="20:35">
      <c r="T51" s="270"/>
      <c r="U51" s="269"/>
      <c r="V51" s="270"/>
      <c r="W51" s="270"/>
      <c r="Y51" s="130"/>
      <c r="Z51" s="237"/>
      <c r="AA51" s="236"/>
      <c r="AB51" s="235">
        <f>SUM(AB35:AB50)</f>
        <v>6358.28</v>
      </c>
      <c r="AC51" s="235">
        <f>SUM(AC35:AC50)</f>
        <v>9136.7799999999988</v>
      </c>
      <c r="AD51" s="235">
        <f>SUM(AD35:AD50)</f>
        <v>1167.2400000000002</v>
      </c>
      <c r="AE51" s="235">
        <f>SUM(AE35:AE50)</f>
        <v>7969.5400000000009</v>
      </c>
    </row>
    <row r="52" spans="20:35">
      <c r="T52" s="270"/>
      <c r="U52" s="269"/>
      <c r="V52" s="270"/>
      <c r="W52" s="270"/>
    </row>
    <row r="53" spans="20:35">
      <c r="Y53" s="291" t="s">
        <v>230</v>
      </c>
      <c r="Z53" s="292"/>
      <c r="AA53" s="292"/>
      <c r="AB53" s="292"/>
      <c r="AC53" s="293" t="s">
        <v>229</v>
      </c>
      <c r="AD53" s="294" t="s">
        <v>213</v>
      </c>
      <c r="AE53" s="295"/>
      <c r="AF53" s="248"/>
      <c r="AG53" s="249"/>
      <c r="AH53" s="249"/>
      <c r="AI53" s="254"/>
    </row>
    <row r="54" spans="20:35">
      <c r="Y54" s="296" t="s">
        <v>228</v>
      </c>
      <c r="Z54" s="297" t="s">
        <v>227</v>
      </c>
      <c r="AA54" s="298"/>
      <c r="AB54" s="298"/>
      <c r="AC54" s="299" t="s">
        <v>226</v>
      </c>
      <c r="AD54" s="260" t="s">
        <v>213</v>
      </c>
      <c r="AE54" s="300"/>
      <c r="AF54" s="260"/>
      <c r="AG54" s="261"/>
      <c r="AH54" s="261"/>
      <c r="AI54" s="254"/>
    </row>
    <row r="55" spans="20:35">
      <c r="Y55" s="296" t="s">
        <v>225</v>
      </c>
      <c r="Z55" s="301" t="s">
        <v>224</v>
      </c>
      <c r="AA55" s="299" t="s">
        <v>223</v>
      </c>
      <c r="AB55" s="302">
        <v>43256</v>
      </c>
      <c r="AC55" s="303" t="s">
        <v>222</v>
      </c>
      <c r="AD55" s="304">
        <v>2018</v>
      </c>
      <c r="AE55" s="305"/>
      <c r="AF55" s="256"/>
      <c r="AG55" s="10"/>
      <c r="AH55" s="10"/>
      <c r="AI55" s="10"/>
    </row>
    <row r="56" spans="20:35">
      <c r="Y56" s="306" t="s">
        <v>221</v>
      </c>
      <c r="Z56" s="301" t="s">
        <v>220</v>
      </c>
      <c r="AA56" s="299" t="s">
        <v>219</v>
      </c>
      <c r="AB56" s="253" t="s">
        <v>218</v>
      </c>
      <c r="AC56" s="299" t="s">
        <v>217</v>
      </c>
      <c r="AD56" s="302">
        <v>43348</v>
      </c>
      <c r="AE56" s="307"/>
      <c r="AF56" s="248"/>
      <c r="AG56" s="249"/>
      <c r="AH56" s="249"/>
      <c r="AI56" s="254"/>
    </row>
    <row r="57" spans="20:35">
      <c r="Y57" s="306" t="s">
        <v>216</v>
      </c>
      <c r="Z57" s="301" t="s">
        <v>215</v>
      </c>
      <c r="AA57" s="299" t="s">
        <v>214</v>
      </c>
      <c r="AB57" s="248" t="s">
        <v>213</v>
      </c>
      <c r="AC57" s="299" t="s">
        <v>212</v>
      </c>
      <c r="AD57" s="248" t="s">
        <v>211</v>
      </c>
      <c r="AE57" s="307"/>
      <c r="AF57" s="248"/>
      <c r="AG57" s="249"/>
      <c r="AH57" s="249"/>
      <c r="AI57" s="250"/>
    </row>
    <row r="58" spans="20:35" ht="17.25" thickBot="1">
      <c r="Y58" s="308" t="s">
        <v>210</v>
      </c>
      <c r="Z58" s="247" t="s">
        <v>209</v>
      </c>
      <c r="AA58" s="246" t="s">
        <v>208</v>
      </c>
      <c r="AB58" s="246" t="s">
        <v>207</v>
      </c>
      <c r="AC58" s="246" t="s">
        <v>206</v>
      </c>
      <c r="AD58" s="246" t="s">
        <v>205</v>
      </c>
      <c r="AE58" s="309" t="s">
        <v>204</v>
      </c>
      <c r="AF58" s="290"/>
      <c r="AG58" s="246" t="s">
        <v>237</v>
      </c>
      <c r="AH58" s="246" t="s">
        <v>236</v>
      </c>
      <c r="AI58" s="246" t="s">
        <v>235</v>
      </c>
    </row>
    <row r="59" spans="20:35">
      <c r="Y59" s="310" t="s">
        <v>202</v>
      </c>
      <c r="Z59" s="256" t="s">
        <v>201</v>
      </c>
      <c r="AA59" s="311">
        <v>43102</v>
      </c>
      <c r="AB59" s="238">
        <v>444</v>
      </c>
      <c r="AC59" s="238">
        <v>748</v>
      </c>
      <c r="AD59" s="238">
        <v>97.24</v>
      </c>
      <c r="AE59" s="312">
        <v>650.76</v>
      </c>
      <c r="AF59" s="238"/>
      <c r="AG59" s="239">
        <v>74</v>
      </c>
      <c r="AH59" s="239">
        <v>150</v>
      </c>
      <c r="AI59" s="239">
        <v>5</v>
      </c>
    </row>
    <row r="60" spans="20:35">
      <c r="Y60" s="310" t="s">
        <v>200</v>
      </c>
      <c r="Z60" s="256" t="s">
        <v>199</v>
      </c>
      <c r="AA60" s="311">
        <v>42837</v>
      </c>
      <c r="AB60" s="238">
        <v>204</v>
      </c>
      <c r="AC60" s="238">
        <v>378.8</v>
      </c>
      <c r="AD60" s="238">
        <v>49.24</v>
      </c>
      <c r="AE60" s="312">
        <v>329.56</v>
      </c>
      <c r="AF60" s="238"/>
      <c r="AG60" s="239">
        <v>34</v>
      </c>
      <c r="AH60" s="239">
        <v>102</v>
      </c>
      <c r="AI60" s="239">
        <v>4</v>
      </c>
    </row>
    <row r="61" spans="20:35">
      <c r="Y61" s="310" t="s">
        <v>198</v>
      </c>
      <c r="Z61" s="256" t="s">
        <v>143</v>
      </c>
      <c r="AA61" s="311">
        <v>42837</v>
      </c>
      <c r="AB61" s="238">
        <v>540</v>
      </c>
      <c r="AC61" s="238">
        <v>876</v>
      </c>
      <c r="AD61" s="238">
        <v>113.88</v>
      </c>
      <c r="AE61" s="312">
        <v>762.12</v>
      </c>
      <c r="AF61" s="238"/>
      <c r="AG61" s="239">
        <v>90</v>
      </c>
      <c r="AH61" s="239">
        <v>150</v>
      </c>
      <c r="AI61" s="239">
        <v>5</v>
      </c>
    </row>
    <row r="62" spans="20:35">
      <c r="Y62" s="310" t="s">
        <v>197</v>
      </c>
      <c r="Z62" s="256" t="s">
        <v>196</v>
      </c>
      <c r="AA62" s="311">
        <v>42046</v>
      </c>
      <c r="AB62" s="238">
        <v>274.27999999999997</v>
      </c>
      <c r="AC62" s="238">
        <v>369.3</v>
      </c>
      <c r="AD62" s="238">
        <v>48.01</v>
      </c>
      <c r="AE62" s="312">
        <v>321.29000000000002</v>
      </c>
      <c r="AF62" s="238"/>
      <c r="AG62" s="239">
        <v>45.71</v>
      </c>
      <c r="AH62" s="239">
        <v>0</v>
      </c>
      <c r="AI62" s="239">
        <v>3</v>
      </c>
    </row>
    <row r="63" spans="20:35">
      <c r="Y63" s="310" t="s">
        <v>195</v>
      </c>
      <c r="Z63" s="256" t="s">
        <v>194</v>
      </c>
      <c r="AA63" s="311">
        <v>42801</v>
      </c>
      <c r="AB63" s="238">
        <v>144</v>
      </c>
      <c r="AC63" s="238">
        <v>267.60000000000002</v>
      </c>
      <c r="AD63" s="238">
        <v>34.79</v>
      </c>
      <c r="AE63" s="312">
        <v>232.81</v>
      </c>
      <c r="AF63" s="238"/>
      <c r="AG63" s="239">
        <v>24</v>
      </c>
      <c r="AH63" s="239">
        <v>72</v>
      </c>
      <c r="AI63" s="239">
        <v>3</v>
      </c>
    </row>
    <row r="64" spans="20:35">
      <c r="Y64" s="310" t="s">
        <v>193</v>
      </c>
      <c r="Z64" s="256" t="s">
        <v>192</v>
      </c>
      <c r="AA64" s="311">
        <v>42499</v>
      </c>
      <c r="AB64" s="238">
        <v>12</v>
      </c>
      <c r="AC64" s="238">
        <v>23.2</v>
      </c>
      <c r="AD64" s="238">
        <v>3.02</v>
      </c>
      <c r="AE64" s="312">
        <v>20.18</v>
      </c>
      <c r="AF64" s="238"/>
      <c r="AG64" s="239">
        <v>2</v>
      </c>
      <c r="AH64" s="239">
        <v>6</v>
      </c>
      <c r="AI64" s="239">
        <v>1</v>
      </c>
    </row>
    <row r="65" spans="25:35">
      <c r="Y65" s="310" t="s">
        <v>191</v>
      </c>
      <c r="Z65" s="256" t="s">
        <v>190</v>
      </c>
      <c r="AA65" s="311">
        <v>42046</v>
      </c>
      <c r="AB65" s="238">
        <v>696</v>
      </c>
      <c r="AC65" s="238">
        <v>943.2</v>
      </c>
      <c r="AD65" s="238">
        <v>122.24</v>
      </c>
      <c r="AE65" s="312">
        <v>820.96</v>
      </c>
      <c r="AF65" s="238"/>
      <c r="AG65" s="239">
        <v>116</v>
      </c>
      <c r="AH65" s="239">
        <v>9.1999999999999993</v>
      </c>
      <c r="AI65" s="239">
        <v>5</v>
      </c>
    </row>
    <row r="66" spans="25:35">
      <c r="Y66" s="310" t="s">
        <v>189</v>
      </c>
      <c r="Z66" s="256" t="s">
        <v>188</v>
      </c>
      <c r="AA66" s="311">
        <v>43347</v>
      </c>
      <c r="AB66" s="238">
        <v>432</v>
      </c>
      <c r="AC66" s="238">
        <v>732</v>
      </c>
      <c r="AD66" s="238">
        <v>95.16</v>
      </c>
      <c r="AE66" s="312">
        <v>636.84</v>
      </c>
      <c r="AF66" s="238"/>
      <c r="AG66" s="239">
        <v>72</v>
      </c>
      <c r="AH66" s="239">
        <v>150</v>
      </c>
      <c r="AI66" s="239">
        <v>5</v>
      </c>
    </row>
    <row r="67" spans="25:35">
      <c r="Y67" s="310" t="s">
        <v>187</v>
      </c>
      <c r="Z67" s="256" t="s">
        <v>186</v>
      </c>
      <c r="AA67" s="311">
        <v>42837</v>
      </c>
      <c r="AB67" s="238">
        <v>504</v>
      </c>
      <c r="AC67" s="238">
        <v>828</v>
      </c>
      <c r="AD67" s="238">
        <v>101.51</v>
      </c>
      <c r="AE67" s="312">
        <v>726.49</v>
      </c>
      <c r="AF67" s="238"/>
      <c r="AG67" s="239">
        <v>84</v>
      </c>
      <c r="AH67" s="239">
        <v>150</v>
      </c>
      <c r="AI67" s="239">
        <v>5</v>
      </c>
    </row>
    <row r="68" spans="25:35">
      <c r="Y68" s="310" t="s">
        <v>185</v>
      </c>
      <c r="Z68" s="256" t="s">
        <v>184</v>
      </c>
      <c r="AA68" s="311">
        <v>42125</v>
      </c>
      <c r="AB68" s="238">
        <v>432</v>
      </c>
      <c r="AC68" s="238">
        <v>732</v>
      </c>
      <c r="AD68" s="238">
        <v>89.75</v>
      </c>
      <c r="AE68" s="312">
        <v>642.25</v>
      </c>
      <c r="AF68" s="238"/>
      <c r="AG68" s="239">
        <v>72</v>
      </c>
      <c r="AH68" s="239">
        <v>150</v>
      </c>
      <c r="AI68" s="239">
        <v>5</v>
      </c>
    </row>
    <row r="69" spans="25:35">
      <c r="Y69" s="310" t="s">
        <v>183</v>
      </c>
      <c r="Z69" s="256" t="s">
        <v>74</v>
      </c>
      <c r="AA69" s="311">
        <v>42499</v>
      </c>
      <c r="AB69" s="238">
        <v>576</v>
      </c>
      <c r="AC69" s="238">
        <v>923.59</v>
      </c>
      <c r="AD69" s="238">
        <v>120.07</v>
      </c>
      <c r="AE69" s="312">
        <v>803.52</v>
      </c>
      <c r="AF69" s="238"/>
      <c r="AG69" s="239">
        <v>96</v>
      </c>
      <c r="AH69" s="239">
        <v>149.59</v>
      </c>
      <c r="AI69" s="239">
        <v>5</v>
      </c>
    </row>
    <row r="70" spans="25:35">
      <c r="Y70" s="310" t="s">
        <v>182</v>
      </c>
      <c r="Z70" s="256" t="s">
        <v>51</v>
      </c>
      <c r="AA70" s="311">
        <v>42375</v>
      </c>
      <c r="AB70" s="238">
        <v>624</v>
      </c>
      <c r="AC70" s="238">
        <v>931.6</v>
      </c>
      <c r="AD70" s="238">
        <v>121.11</v>
      </c>
      <c r="AE70" s="312">
        <v>810.49</v>
      </c>
      <c r="AF70" s="238"/>
      <c r="AG70" s="239">
        <v>104</v>
      </c>
      <c r="AH70" s="239">
        <v>93.6</v>
      </c>
      <c r="AI70" s="239">
        <v>5</v>
      </c>
    </row>
    <row r="71" spans="25:35">
      <c r="Y71" s="310" t="s">
        <v>181</v>
      </c>
      <c r="Z71" s="256" t="s">
        <v>180</v>
      </c>
      <c r="AA71" s="311">
        <v>42375</v>
      </c>
      <c r="AB71" s="238">
        <v>492</v>
      </c>
      <c r="AC71" s="238">
        <v>812</v>
      </c>
      <c r="AD71" s="238">
        <v>105.56</v>
      </c>
      <c r="AE71" s="312">
        <v>706.44</v>
      </c>
      <c r="AF71" s="238"/>
      <c r="AG71" s="239">
        <v>82</v>
      </c>
      <c r="AH71" s="239">
        <v>150</v>
      </c>
      <c r="AI71" s="239">
        <v>5</v>
      </c>
    </row>
    <row r="72" spans="25:35">
      <c r="Y72" s="310" t="s">
        <v>179</v>
      </c>
      <c r="Z72" s="256" t="s">
        <v>49</v>
      </c>
      <c r="AA72" s="311">
        <v>42897</v>
      </c>
      <c r="AB72" s="238">
        <v>12</v>
      </c>
      <c r="AC72" s="238">
        <v>23.2</v>
      </c>
      <c r="AD72" s="238">
        <v>2.89</v>
      </c>
      <c r="AE72" s="312">
        <v>20.309999999999999</v>
      </c>
      <c r="AF72" s="238"/>
      <c r="AG72" s="239">
        <v>2</v>
      </c>
      <c r="AH72" s="239">
        <v>6</v>
      </c>
      <c r="AI72" s="239">
        <v>1</v>
      </c>
    </row>
    <row r="73" spans="25:35">
      <c r="Y73" s="310" t="s">
        <v>178</v>
      </c>
      <c r="Z73" s="256" t="s">
        <v>177</v>
      </c>
      <c r="AA73" s="311" t="s">
        <v>176</v>
      </c>
      <c r="AB73" s="238">
        <v>444</v>
      </c>
      <c r="AC73" s="238">
        <v>748</v>
      </c>
      <c r="AD73" s="238">
        <v>97.24</v>
      </c>
      <c r="AE73" s="312">
        <v>650.76</v>
      </c>
      <c r="AF73" s="238"/>
      <c r="AG73" s="239">
        <v>74</v>
      </c>
      <c r="AH73" s="239">
        <v>150</v>
      </c>
      <c r="AI73" s="239">
        <v>5</v>
      </c>
    </row>
    <row r="74" spans="25:35">
      <c r="Y74" s="310" t="s">
        <v>175</v>
      </c>
      <c r="Z74" s="256" t="s">
        <v>57</v>
      </c>
      <c r="AA74" s="311">
        <v>42889</v>
      </c>
      <c r="AB74" s="238">
        <v>528</v>
      </c>
      <c r="AC74" s="238">
        <v>860</v>
      </c>
      <c r="AD74" s="238">
        <v>100.97</v>
      </c>
      <c r="AE74" s="312">
        <v>759.03</v>
      </c>
      <c r="AF74" s="238"/>
      <c r="AG74" s="239">
        <v>88</v>
      </c>
      <c r="AH74" s="239">
        <v>150</v>
      </c>
      <c r="AI74" s="239">
        <v>5</v>
      </c>
    </row>
    <row r="75" spans="25:35">
      <c r="Y75" s="313"/>
      <c r="Z75" s="314"/>
      <c r="AA75" s="315"/>
      <c r="AB75" s="316">
        <f>SUM(AB59:AB74)</f>
        <v>6358.28</v>
      </c>
      <c r="AC75" s="316">
        <f>SUM(AC59:AC74)</f>
        <v>10196.490000000002</v>
      </c>
      <c r="AD75" s="316">
        <f>SUM(AD59:AD74)</f>
        <v>1302.6800000000003</v>
      </c>
      <c r="AE75" s="317">
        <f>SUM(AE59:AE74)</f>
        <v>8893.8100000000013</v>
      </c>
      <c r="AF75" s="234"/>
      <c r="AG75" s="235">
        <f>SUM(AG59:AG74)</f>
        <v>1059.71</v>
      </c>
      <c r="AH75" s="235">
        <f>SUM(AH59:AH74)</f>
        <v>1638.3899999999999</v>
      </c>
      <c r="AI75" s="235">
        <f>SUM(AI59:AI74)</f>
        <v>67</v>
      </c>
    </row>
  </sheetData>
  <mergeCells count="4">
    <mergeCell ref="I2:R2"/>
    <mergeCell ref="K3:N3"/>
    <mergeCell ref="O3:P3"/>
    <mergeCell ref="S3:U3"/>
  </mergeCells>
  <conditionalFormatting sqref="R40 R5">
    <cfRule type="cellIs" dxfId="1" priority="2" operator="lessThanOrEqual">
      <formula>0</formula>
    </cfRule>
  </conditionalFormatting>
  <conditionalFormatting sqref="R5:R39">
    <cfRule type="cellIs" dxfId="0" priority="1" operator="greaterThan">
      <formula>0</formula>
    </cfRule>
  </conditionalFormatting>
  <printOptions horizontalCentered="1"/>
  <pageMargins left="0" right="0" top="0.42" bottom="0" header="0.31496062992125984" footer="0.31496062992125984"/>
  <pageSetup paperSize="9" scale="82" orientation="portrait" r:id="rId1"/>
  <ignoredErrors>
    <ignoredError sqref="R23:R27 N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I75"/>
  <sheetViews>
    <sheetView zoomScale="85" zoomScaleNormal="85" workbookViewId="0">
      <pane xSplit="10" ySplit="4" topLeftCell="K7" activePane="bottomRight" state="frozen"/>
      <selection pane="topRight" activeCell="K1" sqref="K1"/>
      <selection pane="bottomLeft" activeCell="A5" sqref="A5"/>
      <selection pane="bottomRight" activeCell="H3" sqref="H3"/>
    </sheetView>
  </sheetViews>
  <sheetFormatPr baseColWidth="10" defaultRowHeight="15"/>
  <cols>
    <col min="1" max="1" width="5.7109375" customWidth="1"/>
    <col min="2" max="2" width="0" hidden="1" customWidth="1"/>
    <col min="3" max="3" width="20.7109375" hidden="1" customWidth="1"/>
    <col min="4" max="4" width="20.7109375" style="1" hidden="1" customWidth="1"/>
    <col min="5" max="5" width="13.28515625" hidden="1" customWidth="1"/>
    <col min="6" max="6" width="10.42578125" style="2" hidden="1" customWidth="1"/>
    <col min="7" max="7" width="25.28515625" hidden="1" customWidth="1"/>
    <col min="8" max="8" width="12.5703125" bestFit="1" customWidth="1"/>
    <col min="9" max="9" width="8.7109375" customWidth="1"/>
    <col min="10" max="10" width="24.140625" customWidth="1"/>
    <col min="11" max="11" width="8.7109375" customWidth="1"/>
    <col min="12" max="12" width="10.7109375" bestFit="1" customWidth="1"/>
    <col min="13" max="13" width="8.7109375" customWidth="1"/>
    <col min="14" max="14" width="10.28515625" bestFit="1" customWidth="1"/>
    <col min="15" max="15" width="8.7109375" customWidth="1"/>
    <col min="16" max="16" width="11.42578125" customWidth="1"/>
    <col min="17" max="17" width="11.7109375" customWidth="1"/>
    <col min="18" max="18" width="12.5703125" bestFit="1" customWidth="1"/>
    <col min="19" max="19" width="2.7109375" customWidth="1"/>
    <col min="20" max="20" width="13.28515625" customWidth="1"/>
    <col min="21" max="21" width="11.5703125" style="181" customWidth="1"/>
    <col min="22" max="22" width="10.7109375" customWidth="1"/>
    <col min="23" max="23" width="20.7109375" customWidth="1"/>
    <col min="24" max="24" width="2" customWidth="1"/>
    <col min="25" max="25" width="11.85546875" customWidth="1"/>
    <col min="26" max="26" width="20" customWidth="1"/>
    <col min="27" max="27" width="11.7109375" customWidth="1"/>
    <col min="28" max="28" width="11" customWidth="1"/>
    <col min="29" max="29" width="10.7109375" customWidth="1"/>
    <col min="30" max="30" width="10.42578125" customWidth="1"/>
    <col min="31" max="31" width="12.28515625" customWidth="1"/>
    <col min="32" max="32" width="9.42578125" customWidth="1"/>
    <col min="33" max="33" width="9.85546875" customWidth="1"/>
    <col min="34" max="34" width="9.5703125" customWidth="1"/>
  </cols>
  <sheetData>
    <row r="1" spans="8:32" ht="5.0999999999999996" customHeight="1"/>
    <row r="2" spans="8:32">
      <c r="I2" s="418" t="s">
        <v>172</v>
      </c>
      <c r="J2" s="418"/>
      <c r="K2" s="418"/>
      <c r="L2" s="418"/>
      <c r="M2" s="418"/>
      <c r="N2" s="418"/>
      <c r="O2" s="418"/>
      <c r="P2" s="418"/>
      <c r="Q2" s="418"/>
      <c r="R2" s="418"/>
      <c r="T2" s="43"/>
    </row>
    <row r="3" spans="8:32">
      <c r="I3" s="11"/>
      <c r="J3" s="11"/>
      <c r="K3" s="419" t="s">
        <v>58</v>
      </c>
      <c r="L3" s="420"/>
      <c r="M3" s="420"/>
      <c r="N3" s="421"/>
      <c r="O3" s="420" t="s">
        <v>59</v>
      </c>
      <c r="P3" s="421"/>
      <c r="Q3" s="11"/>
      <c r="R3" s="11"/>
      <c r="S3" s="422">
        <f ca="1">+TODAY()</f>
        <v>43292</v>
      </c>
      <c r="T3" s="423"/>
      <c r="U3" s="423"/>
    </row>
    <row r="4" spans="8:32" ht="40.5">
      <c r="I4" s="12" t="s">
        <v>11</v>
      </c>
      <c r="J4" s="12" t="s">
        <v>3</v>
      </c>
      <c r="K4" s="64" t="s">
        <v>23</v>
      </c>
      <c r="L4" s="64" t="s">
        <v>77</v>
      </c>
      <c r="M4" s="64" t="s">
        <v>23</v>
      </c>
      <c r="N4" s="64" t="s">
        <v>77</v>
      </c>
      <c r="O4" s="13" t="s">
        <v>23</v>
      </c>
      <c r="P4" s="13" t="s">
        <v>173</v>
      </c>
      <c r="Q4" s="13" t="s">
        <v>174</v>
      </c>
      <c r="R4" s="14" t="s">
        <v>60</v>
      </c>
      <c r="S4" s="7"/>
    </row>
    <row r="5" spans="8:32">
      <c r="I5" s="16" t="s">
        <v>61</v>
      </c>
      <c r="J5" s="17" t="s">
        <v>62</v>
      </c>
      <c r="K5" s="18"/>
      <c r="L5" s="184">
        <f>+K5*3</f>
        <v>0</v>
      </c>
      <c r="M5" s="220"/>
      <c r="N5" s="212">
        <f>+M5*3</f>
        <v>0</v>
      </c>
      <c r="O5" s="22"/>
      <c r="P5" s="23"/>
      <c r="Q5" s="210"/>
      <c r="R5" s="211">
        <f>+L5+N5+P5+Q5</f>
        <v>0</v>
      </c>
      <c r="S5" s="7"/>
      <c r="T5" s="137">
        <v>968</v>
      </c>
      <c r="U5" s="182">
        <v>125.45</v>
      </c>
      <c r="V5" s="139">
        <v>842.55</v>
      </c>
      <c r="W5" s="280" t="s">
        <v>231</v>
      </c>
      <c r="Y5" s="289" t="s">
        <v>234</v>
      </c>
      <c r="Z5" s="169"/>
      <c r="AA5" s="169"/>
      <c r="AB5" s="169"/>
      <c r="AC5" s="169" t="s">
        <v>229</v>
      </c>
      <c r="AD5" s="169" t="s">
        <v>213</v>
      </c>
      <c r="AE5" s="169"/>
      <c r="AF5" s="169"/>
    </row>
    <row r="6" spans="8:32">
      <c r="I6" s="207" t="s">
        <v>4</v>
      </c>
      <c r="J6" s="28" t="s">
        <v>12</v>
      </c>
      <c r="K6" s="18"/>
      <c r="L6" s="185">
        <f>+K6*3</f>
        <v>0</v>
      </c>
      <c r="M6" s="220"/>
      <c r="N6" s="212">
        <v>0</v>
      </c>
      <c r="O6" s="22"/>
      <c r="P6" s="23"/>
      <c r="Q6" s="196"/>
      <c r="R6" s="209">
        <f t="shared" ref="R6:R43" si="0">+L6+N6+P6+Q6</f>
        <v>0</v>
      </c>
      <c r="S6" s="7"/>
      <c r="T6" s="140">
        <f>+U6+V6</f>
        <v>827.2031333452021</v>
      </c>
      <c r="U6" s="284">
        <f>+U5*V6/V5</f>
        <v>107.20313334520208</v>
      </c>
      <c r="V6" s="141">
        <v>720</v>
      </c>
      <c r="W6" s="161"/>
      <c r="Y6" s="169" t="s">
        <v>228</v>
      </c>
      <c r="Z6" s="169" t="s">
        <v>227</v>
      </c>
      <c r="AA6" s="169"/>
      <c r="AB6" s="169"/>
      <c r="AC6" s="169" t="s">
        <v>226</v>
      </c>
      <c r="AD6" s="169" t="s">
        <v>213</v>
      </c>
      <c r="AE6" s="169"/>
      <c r="AF6" s="169"/>
    </row>
    <row r="7" spans="8:32">
      <c r="I7" s="113" t="s">
        <v>1</v>
      </c>
      <c r="J7" s="114" t="s">
        <v>56</v>
      </c>
      <c r="K7" s="120"/>
      <c r="L7" s="215">
        <f>+K7*3</f>
        <v>0</v>
      </c>
      <c r="M7" s="121"/>
      <c r="N7" s="213">
        <f>+M7*3</f>
        <v>0</v>
      </c>
      <c r="O7" s="117"/>
      <c r="P7" s="31">
        <f>IF(O7&gt;25,150,(O7)*6)</f>
        <v>0</v>
      </c>
      <c r="Q7" s="196"/>
      <c r="R7" s="23">
        <f t="shared" si="0"/>
        <v>0</v>
      </c>
      <c r="S7" s="7"/>
      <c r="T7" s="142">
        <f>+T5-T6</f>
        <v>140.7968666547979</v>
      </c>
      <c r="U7" s="183"/>
      <c r="V7" s="143"/>
      <c r="W7" s="4" t="s">
        <v>145</v>
      </c>
      <c r="Y7" s="169" t="s">
        <v>225</v>
      </c>
      <c r="Z7" s="169" t="s">
        <v>224</v>
      </c>
      <c r="AA7" s="169" t="s">
        <v>223</v>
      </c>
      <c r="AB7" s="169">
        <v>43256</v>
      </c>
      <c r="AC7" s="169" t="s">
        <v>222</v>
      </c>
      <c r="AD7" s="169">
        <v>2018</v>
      </c>
      <c r="AE7" s="169"/>
      <c r="AF7" s="169"/>
    </row>
    <row r="8" spans="8:32">
      <c r="I8" s="113" t="s">
        <v>2</v>
      </c>
      <c r="J8" s="114" t="s">
        <v>47</v>
      </c>
      <c r="K8" s="115"/>
      <c r="L8" s="215"/>
      <c r="M8" s="117"/>
      <c r="N8" s="213">
        <f>+M8*3</f>
        <v>0</v>
      </c>
      <c r="O8" s="117">
        <v>58</v>
      </c>
      <c r="P8" s="31">
        <f>IF(O8&gt;25,150,(O8)*6)</f>
        <v>150</v>
      </c>
      <c r="Q8" s="195"/>
      <c r="R8" s="228">
        <f t="shared" si="0"/>
        <v>150</v>
      </c>
      <c r="S8" s="7"/>
      <c r="T8" s="144">
        <v>150</v>
      </c>
      <c r="U8" s="163">
        <f>+T8-T7</f>
        <v>9.2031333452021045</v>
      </c>
      <c r="V8" s="164" t="s">
        <v>232</v>
      </c>
      <c r="W8" s="9">
        <f>150-U8</f>
        <v>140.7968666547979</v>
      </c>
      <c r="Y8" s="169" t="s">
        <v>221</v>
      </c>
      <c r="Z8" s="169" t="s">
        <v>220</v>
      </c>
      <c r="AA8" s="169" t="s">
        <v>219</v>
      </c>
      <c r="AB8" s="169" t="s">
        <v>218</v>
      </c>
      <c r="AC8" s="169" t="s">
        <v>217</v>
      </c>
      <c r="AD8" s="169">
        <v>43348</v>
      </c>
      <c r="AE8" s="169"/>
      <c r="AF8" s="169"/>
    </row>
    <row r="9" spans="8:32">
      <c r="I9" s="207" t="s">
        <v>0</v>
      </c>
      <c r="J9" s="28" t="s">
        <v>7</v>
      </c>
      <c r="K9" s="18"/>
      <c r="L9" s="213">
        <f>+K9*5</f>
        <v>0</v>
      </c>
      <c r="M9" s="20"/>
      <c r="N9" s="213">
        <f>5*M9</f>
        <v>0</v>
      </c>
      <c r="O9" s="22"/>
      <c r="P9" s="23">
        <v>0</v>
      </c>
      <c r="Q9" s="196"/>
      <c r="R9" s="23">
        <f t="shared" si="0"/>
        <v>0</v>
      </c>
      <c r="S9" s="7"/>
      <c r="T9" s="26"/>
      <c r="W9" s="162"/>
      <c r="Y9" s="267" t="s">
        <v>216</v>
      </c>
      <c r="Z9" s="267" t="s">
        <v>215</v>
      </c>
      <c r="AA9" s="267" t="s">
        <v>214</v>
      </c>
      <c r="AB9" s="267" t="s">
        <v>213</v>
      </c>
      <c r="AC9" s="267" t="s">
        <v>212</v>
      </c>
      <c r="AD9" s="267" t="s">
        <v>211</v>
      </c>
      <c r="AE9" s="267"/>
      <c r="AF9" s="267"/>
    </row>
    <row r="10" spans="8:32" ht="17.25" thickBot="1">
      <c r="I10" s="207" t="s">
        <v>5</v>
      </c>
      <c r="J10" s="30" t="s">
        <v>71</v>
      </c>
      <c r="K10" s="18"/>
      <c r="L10" s="213">
        <f>+K10*3</f>
        <v>0</v>
      </c>
      <c r="M10" s="208"/>
      <c r="N10" s="213">
        <f>+M10*3</f>
        <v>0</v>
      </c>
      <c r="O10" s="208">
        <v>45</v>
      </c>
      <c r="P10" s="31">
        <f t="shared" ref="P10:P30" si="1">IF(O10&gt;25,150,(O10)*6)</f>
        <v>150</v>
      </c>
      <c r="Q10" s="196"/>
      <c r="R10" s="228">
        <f t="shared" si="0"/>
        <v>150</v>
      </c>
      <c r="S10" s="7"/>
      <c r="T10" s="137">
        <v>828</v>
      </c>
      <c r="U10" s="182">
        <v>107.64</v>
      </c>
      <c r="V10" s="139">
        <v>720.36</v>
      </c>
      <c r="W10" s="280" t="s">
        <v>74</v>
      </c>
      <c r="Y10" s="265" t="s">
        <v>210</v>
      </c>
      <c r="Z10" s="265" t="s">
        <v>209</v>
      </c>
      <c r="AA10" s="266" t="s">
        <v>208</v>
      </c>
      <c r="AB10" s="266" t="s">
        <v>207</v>
      </c>
      <c r="AC10" s="266" t="s">
        <v>206</v>
      </c>
      <c r="AD10" s="266" t="s">
        <v>205</v>
      </c>
      <c r="AE10" s="266" t="s">
        <v>204</v>
      </c>
      <c r="AF10" s="266" t="s">
        <v>203</v>
      </c>
    </row>
    <row r="11" spans="8:32">
      <c r="I11" s="207" t="s">
        <v>27</v>
      </c>
      <c r="J11" s="30" t="s">
        <v>28</v>
      </c>
      <c r="K11" s="18"/>
      <c r="L11" s="213">
        <v>0</v>
      </c>
      <c r="M11" s="208"/>
      <c r="N11" s="213">
        <f>+M11*3</f>
        <v>0</v>
      </c>
      <c r="O11" s="208"/>
      <c r="P11" s="31">
        <f t="shared" si="1"/>
        <v>0</v>
      </c>
      <c r="Q11" s="195"/>
      <c r="R11" s="31">
        <f t="shared" si="0"/>
        <v>0</v>
      </c>
      <c r="S11" s="7"/>
      <c r="T11" s="140">
        <f>+U11+V11</f>
        <v>827.58620689655174</v>
      </c>
      <c r="U11" s="284">
        <f>+U10*V11/V10</f>
        <v>107.58620689655173</v>
      </c>
      <c r="V11" s="141">
        <v>720</v>
      </c>
      <c r="W11" s="162"/>
      <c r="Y11" s="240" t="s">
        <v>202</v>
      </c>
      <c r="Z11" s="10" t="s">
        <v>201</v>
      </c>
      <c r="AA11" s="232">
        <v>43102</v>
      </c>
      <c r="AB11" s="239">
        <v>444</v>
      </c>
      <c r="AC11" s="281">
        <v>674</v>
      </c>
      <c r="AD11" s="239">
        <v>87.62</v>
      </c>
      <c r="AE11" s="239">
        <v>586.38</v>
      </c>
      <c r="AF11" s="238">
        <f t="shared" ref="AF11:AF26" si="2">720-AE11</f>
        <v>133.62</v>
      </c>
    </row>
    <row r="12" spans="8:32">
      <c r="I12" s="207" t="s">
        <v>8</v>
      </c>
      <c r="J12" s="30" t="s">
        <v>29</v>
      </c>
      <c r="K12" s="35"/>
      <c r="L12" s="213"/>
      <c r="M12" s="208"/>
      <c r="N12" s="213">
        <v>0</v>
      </c>
      <c r="O12" s="208">
        <v>36</v>
      </c>
      <c r="P12" s="31">
        <f t="shared" si="1"/>
        <v>150</v>
      </c>
      <c r="Q12" s="195"/>
      <c r="R12" s="228">
        <f t="shared" si="0"/>
        <v>150</v>
      </c>
      <c r="S12" s="7"/>
      <c r="T12" s="142">
        <f>+T10-T11</f>
        <v>0.41379310344825626</v>
      </c>
      <c r="U12" s="183"/>
      <c r="V12" s="143"/>
      <c r="W12" s="4" t="s">
        <v>145</v>
      </c>
      <c r="Y12" s="240" t="s">
        <v>200</v>
      </c>
      <c r="Z12" s="10" t="s">
        <v>199</v>
      </c>
      <c r="AA12" s="232">
        <v>42837</v>
      </c>
      <c r="AB12" s="239">
        <v>204</v>
      </c>
      <c r="AC12" s="281">
        <v>344.8</v>
      </c>
      <c r="AD12" s="239">
        <v>44.82</v>
      </c>
      <c r="AE12" s="239">
        <v>299.98</v>
      </c>
      <c r="AF12" s="238">
        <f t="shared" si="2"/>
        <v>420.02</v>
      </c>
    </row>
    <row r="13" spans="8:32">
      <c r="I13" s="207" t="s">
        <v>63</v>
      </c>
      <c r="J13" s="30" t="s">
        <v>33</v>
      </c>
      <c r="K13" s="35"/>
      <c r="L13" s="213"/>
      <c r="M13" s="208"/>
      <c r="N13" s="213">
        <f>+M13*3</f>
        <v>0</v>
      </c>
      <c r="O13" s="208">
        <v>1</v>
      </c>
      <c r="P13" s="31">
        <f t="shared" si="1"/>
        <v>6</v>
      </c>
      <c r="Q13" s="195"/>
      <c r="R13" s="228">
        <f t="shared" si="0"/>
        <v>6</v>
      </c>
      <c r="S13" s="7"/>
      <c r="T13" s="144">
        <v>150</v>
      </c>
      <c r="U13" s="163">
        <f>+T13-T12</f>
        <v>149.58620689655174</v>
      </c>
      <c r="V13" s="164" t="s">
        <v>232</v>
      </c>
      <c r="W13" s="9">
        <f>150-U13</f>
        <v>0.41379310344825626</v>
      </c>
      <c r="Y13" s="240" t="s">
        <v>198</v>
      </c>
      <c r="Z13" s="10" t="s">
        <v>143</v>
      </c>
      <c r="AA13" s="232">
        <v>42837</v>
      </c>
      <c r="AB13" s="239">
        <v>540</v>
      </c>
      <c r="AC13" s="281">
        <v>786</v>
      </c>
      <c r="AD13" s="239">
        <v>102.18</v>
      </c>
      <c r="AE13" s="239">
        <v>683.82</v>
      </c>
      <c r="AF13" s="238">
        <f t="shared" si="2"/>
        <v>36.17999999999995</v>
      </c>
    </row>
    <row r="14" spans="8:32">
      <c r="I14" s="207" t="s">
        <v>24</v>
      </c>
      <c r="J14" s="30" t="s">
        <v>30</v>
      </c>
      <c r="K14" s="18"/>
      <c r="L14" s="213">
        <v>0</v>
      </c>
      <c r="M14" s="20"/>
      <c r="N14" s="213">
        <v>0</v>
      </c>
      <c r="O14" s="208"/>
      <c r="P14" s="31">
        <f t="shared" si="1"/>
        <v>0</v>
      </c>
      <c r="Q14" s="195"/>
      <c r="R14" s="31">
        <f t="shared" si="0"/>
        <v>0</v>
      </c>
      <c r="S14" s="7"/>
      <c r="T14" s="26"/>
      <c r="W14" s="162"/>
      <c r="Y14" s="240" t="s">
        <v>197</v>
      </c>
      <c r="Z14" s="10" t="s">
        <v>196</v>
      </c>
      <c r="AA14" s="232">
        <v>42046</v>
      </c>
      <c r="AB14" s="239">
        <v>274.27999999999997</v>
      </c>
      <c r="AC14" s="281">
        <v>323.58999999999997</v>
      </c>
      <c r="AD14" s="239">
        <v>42.07</v>
      </c>
      <c r="AE14" s="239">
        <v>281.52</v>
      </c>
      <c r="AF14" s="238">
        <f t="shared" si="2"/>
        <v>438.48</v>
      </c>
    </row>
    <row r="15" spans="8:32">
      <c r="I15" s="207" t="s">
        <v>18</v>
      </c>
      <c r="J15" s="28" t="s">
        <v>72</v>
      </c>
      <c r="K15" s="18"/>
      <c r="L15" s="213">
        <f>+K15*3</f>
        <v>0</v>
      </c>
      <c r="M15" s="20"/>
      <c r="N15" s="213">
        <f>+M15*3</f>
        <v>0</v>
      </c>
      <c r="O15" s="208"/>
      <c r="P15" s="31">
        <f t="shared" si="1"/>
        <v>0</v>
      </c>
      <c r="Q15" s="196"/>
      <c r="R15" s="31">
        <f t="shared" si="0"/>
        <v>0</v>
      </c>
      <c r="S15" s="7"/>
      <c r="T15" s="137">
        <v>884</v>
      </c>
      <c r="U15" s="182">
        <v>114.92</v>
      </c>
      <c r="V15" s="139">
        <v>769.08</v>
      </c>
      <c r="W15" s="280" t="s">
        <v>51</v>
      </c>
      <c r="Y15" s="240" t="s">
        <v>195</v>
      </c>
      <c r="Z15" s="10" t="s">
        <v>194</v>
      </c>
      <c r="AA15" s="232">
        <v>42801</v>
      </c>
      <c r="AB15" s="239">
        <v>144</v>
      </c>
      <c r="AC15" s="281">
        <v>243.6</v>
      </c>
      <c r="AD15" s="239">
        <v>31.67</v>
      </c>
      <c r="AE15" s="239">
        <v>211.93</v>
      </c>
      <c r="AF15" s="238">
        <f t="shared" si="2"/>
        <v>508.07</v>
      </c>
    </row>
    <row r="16" spans="8:32">
      <c r="H16" s="173" t="s">
        <v>84</v>
      </c>
      <c r="I16" s="83" t="s">
        <v>6</v>
      </c>
      <c r="J16" s="84" t="s">
        <v>99</v>
      </c>
      <c r="K16" s="85"/>
      <c r="L16" s="217">
        <f>+K16*3</f>
        <v>0</v>
      </c>
      <c r="M16" s="223"/>
      <c r="N16" s="214">
        <f t="shared" ref="N16:N28" si="3">+M16*3</f>
        <v>0</v>
      </c>
      <c r="O16" s="88"/>
      <c r="P16" s="89">
        <f t="shared" si="1"/>
        <v>0</v>
      </c>
      <c r="Q16" s="197"/>
      <c r="R16" s="89">
        <f t="shared" si="0"/>
        <v>0</v>
      </c>
      <c r="S16" s="7"/>
      <c r="T16" s="140">
        <f>+U16+V16</f>
        <v>827.58620689655174</v>
      </c>
      <c r="U16" s="284">
        <f>+U15*V16/V15</f>
        <v>107.58620689655172</v>
      </c>
      <c r="V16" s="141">
        <v>720</v>
      </c>
      <c r="W16" s="162"/>
      <c r="Y16" s="240" t="s">
        <v>193</v>
      </c>
      <c r="Z16" s="10" t="s">
        <v>192</v>
      </c>
      <c r="AA16" s="232">
        <v>42499</v>
      </c>
      <c r="AB16" s="239">
        <v>12</v>
      </c>
      <c r="AC16" s="281">
        <v>21.2</v>
      </c>
      <c r="AD16" s="239">
        <v>2.76</v>
      </c>
      <c r="AE16" s="239">
        <v>18.440000000000001</v>
      </c>
      <c r="AF16" s="238">
        <f t="shared" si="2"/>
        <v>701.56</v>
      </c>
    </row>
    <row r="17" spans="4:32">
      <c r="I17" s="207" t="s">
        <v>31</v>
      </c>
      <c r="J17" s="30" t="s">
        <v>32</v>
      </c>
      <c r="K17" s="35"/>
      <c r="L17" s="213"/>
      <c r="M17" s="224"/>
      <c r="N17" s="213">
        <f t="shared" si="3"/>
        <v>0</v>
      </c>
      <c r="O17" s="208">
        <v>37</v>
      </c>
      <c r="P17" s="31">
        <f t="shared" si="1"/>
        <v>150</v>
      </c>
      <c r="Q17" s="195"/>
      <c r="R17" s="228">
        <f t="shared" si="0"/>
        <v>150</v>
      </c>
      <c r="S17" s="7"/>
      <c r="T17" s="142">
        <f>+T15-T16</f>
        <v>56.413793103448256</v>
      </c>
      <c r="U17" s="183"/>
      <c r="V17" s="143"/>
      <c r="W17" s="4" t="s">
        <v>145</v>
      </c>
      <c r="Y17" s="245" t="s">
        <v>191</v>
      </c>
      <c r="Z17" s="244" t="s">
        <v>190</v>
      </c>
      <c r="AA17" s="243">
        <v>42046</v>
      </c>
      <c r="AB17" s="242">
        <v>696</v>
      </c>
      <c r="AC17" s="282">
        <v>968</v>
      </c>
      <c r="AD17" s="242">
        <v>125.45</v>
      </c>
      <c r="AE17" s="241">
        <v>842.55</v>
      </c>
      <c r="AF17" s="319">
        <f t="shared" si="2"/>
        <v>-122.54999999999995</v>
      </c>
    </row>
    <row r="18" spans="4:32">
      <c r="I18" s="207" t="s">
        <v>54</v>
      </c>
      <c r="J18" s="30" t="s">
        <v>55</v>
      </c>
      <c r="K18" s="18"/>
      <c r="L18" s="213">
        <f>+K18*3</f>
        <v>0</v>
      </c>
      <c r="M18" s="225"/>
      <c r="N18" s="215">
        <f t="shared" si="3"/>
        <v>0</v>
      </c>
      <c r="O18" s="208"/>
      <c r="P18" s="31">
        <f t="shared" si="1"/>
        <v>0</v>
      </c>
      <c r="Q18" s="195"/>
      <c r="R18" s="31">
        <f t="shared" si="0"/>
        <v>0</v>
      </c>
      <c r="S18" s="7"/>
      <c r="T18" s="144">
        <v>150</v>
      </c>
      <c r="U18" s="163">
        <f>+T18-T17+0.01</f>
        <v>93.596206896551749</v>
      </c>
      <c r="V18" s="164" t="s">
        <v>232</v>
      </c>
      <c r="W18" s="9">
        <f>150-U18</f>
        <v>56.403793103448251</v>
      </c>
      <c r="Y18" s="240" t="s">
        <v>189</v>
      </c>
      <c r="Z18" s="10" t="s">
        <v>188</v>
      </c>
      <c r="AA18" s="232">
        <v>43347</v>
      </c>
      <c r="AB18" s="239">
        <v>432</v>
      </c>
      <c r="AC18" s="281">
        <v>660</v>
      </c>
      <c r="AD18" s="239">
        <v>85.8</v>
      </c>
      <c r="AE18" s="239">
        <v>574.20000000000005</v>
      </c>
      <c r="AF18" s="238">
        <f t="shared" si="2"/>
        <v>145.79999999999995</v>
      </c>
    </row>
    <row r="19" spans="4:32">
      <c r="I19" s="113" t="s">
        <v>10</v>
      </c>
      <c r="J19" s="114" t="s">
        <v>34</v>
      </c>
      <c r="K19" s="115"/>
      <c r="L19" s="215"/>
      <c r="M19" s="226"/>
      <c r="N19" s="215">
        <f t="shared" si="3"/>
        <v>0</v>
      </c>
      <c r="O19" s="117">
        <v>12</v>
      </c>
      <c r="P19" s="31">
        <f t="shared" si="1"/>
        <v>72</v>
      </c>
      <c r="Q19" s="195"/>
      <c r="R19" s="228">
        <f t="shared" si="0"/>
        <v>72</v>
      </c>
      <c r="S19" s="7"/>
      <c r="T19" s="26"/>
      <c r="W19" s="162"/>
      <c r="Y19" s="240" t="s">
        <v>187</v>
      </c>
      <c r="Z19" s="10" t="s">
        <v>186</v>
      </c>
      <c r="AA19" s="232">
        <v>42837</v>
      </c>
      <c r="AB19" s="239">
        <v>504</v>
      </c>
      <c r="AC19" s="281">
        <v>744</v>
      </c>
      <c r="AD19" s="239">
        <v>91.22</v>
      </c>
      <c r="AE19" s="239">
        <v>652.78</v>
      </c>
      <c r="AF19" s="238">
        <f t="shared" si="2"/>
        <v>67.220000000000027</v>
      </c>
    </row>
    <row r="20" spans="4:32">
      <c r="H20" s="174" t="s">
        <v>153</v>
      </c>
      <c r="I20" s="83" t="s">
        <v>9</v>
      </c>
      <c r="J20" s="221" t="s">
        <v>35</v>
      </c>
      <c r="K20" s="222"/>
      <c r="L20" s="217"/>
      <c r="M20" s="223"/>
      <c r="N20" s="217">
        <f t="shared" si="3"/>
        <v>0</v>
      </c>
      <c r="O20" s="88">
        <v>47</v>
      </c>
      <c r="P20" s="89">
        <f t="shared" si="1"/>
        <v>150</v>
      </c>
      <c r="Q20" s="197"/>
      <c r="R20" s="89">
        <f t="shared" si="0"/>
        <v>150</v>
      </c>
      <c r="S20" s="7"/>
      <c r="T20" s="268"/>
      <c r="U20" s="269"/>
      <c r="V20" s="270"/>
      <c r="W20" s="271"/>
      <c r="Y20" s="240" t="s">
        <v>185</v>
      </c>
      <c r="Z20" s="10" t="s">
        <v>184</v>
      </c>
      <c r="AA20" s="232">
        <v>42125</v>
      </c>
      <c r="AB20" s="239">
        <v>432</v>
      </c>
      <c r="AC20" s="281">
        <v>660</v>
      </c>
      <c r="AD20" s="239">
        <v>80.92</v>
      </c>
      <c r="AE20" s="239">
        <v>579.08000000000004</v>
      </c>
      <c r="AF20" s="238">
        <f t="shared" si="2"/>
        <v>140.91999999999996</v>
      </c>
    </row>
    <row r="21" spans="4:32">
      <c r="H21" s="174" t="s">
        <v>153</v>
      </c>
      <c r="I21" s="83" t="s">
        <v>36</v>
      </c>
      <c r="J21" s="221" t="s">
        <v>37</v>
      </c>
      <c r="K21" s="222"/>
      <c r="L21" s="217"/>
      <c r="M21" s="223"/>
      <c r="N21" s="217">
        <f t="shared" si="3"/>
        <v>0</v>
      </c>
      <c r="O21" s="88">
        <v>38</v>
      </c>
      <c r="P21" s="89">
        <f t="shared" si="1"/>
        <v>150</v>
      </c>
      <c r="Q21" s="197"/>
      <c r="R21" s="89">
        <f t="shared" si="0"/>
        <v>150</v>
      </c>
      <c r="S21" s="7"/>
      <c r="T21" s="268"/>
      <c r="U21" s="269"/>
      <c r="V21" s="272"/>
      <c r="W21" s="273"/>
      <c r="Y21" s="245" t="s">
        <v>183</v>
      </c>
      <c r="Z21" s="244" t="s">
        <v>74</v>
      </c>
      <c r="AA21" s="243">
        <v>42499</v>
      </c>
      <c r="AB21" s="242">
        <v>576</v>
      </c>
      <c r="AC21" s="282">
        <v>828</v>
      </c>
      <c r="AD21" s="242">
        <v>107.64</v>
      </c>
      <c r="AE21" s="241">
        <v>720.36</v>
      </c>
      <c r="AF21" s="319">
        <f t="shared" si="2"/>
        <v>-0.36000000000001364</v>
      </c>
    </row>
    <row r="22" spans="4:32">
      <c r="I22" s="207" t="s">
        <v>64</v>
      </c>
      <c r="J22" s="30" t="s">
        <v>65</v>
      </c>
      <c r="K22" s="35"/>
      <c r="L22" s="213"/>
      <c r="M22" s="224"/>
      <c r="N22" s="213">
        <v>0</v>
      </c>
      <c r="O22" s="208">
        <v>41</v>
      </c>
      <c r="P22" s="31">
        <f t="shared" si="1"/>
        <v>150</v>
      </c>
      <c r="Q22" s="195"/>
      <c r="R22" s="228">
        <f t="shared" si="0"/>
        <v>150</v>
      </c>
      <c r="S22" s="7"/>
      <c r="T22" s="274"/>
      <c r="U22" s="269"/>
      <c r="V22" s="270"/>
      <c r="W22" s="275"/>
      <c r="Y22" s="245" t="s">
        <v>182</v>
      </c>
      <c r="Z22" s="244" t="s">
        <v>51</v>
      </c>
      <c r="AA22" s="243">
        <v>42375</v>
      </c>
      <c r="AB22" s="242">
        <v>624</v>
      </c>
      <c r="AC22" s="282">
        <v>884</v>
      </c>
      <c r="AD22" s="242">
        <v>114.92</v>
      </c>
      <c r="AE22" s="241">
        <v>769.08</v>
      </c>
      <c r="AF22" s="319">
        <f t="shared" si="2"/>
        <v>-49.080000000000041</v>
      </c>
    </row>
    <row r="23" spans="4:32">
      <c r="I23" s="207" t="s">
        <v>13</v>
      </c>
      <c r="J23" s="30" t="s">
        <v>38</v>
      </c>
      <c r="K23" s="35"/>
      <c r="L23" s="213"/>
      <c r="M23" s="224"/>
      <c r="N23" s="213">
        <f t="shared" si="3"/>
        <v>0</v>
      </c>
      <c r="O23" s="208">
        <v>52</v>
      </c>
      <c r="P23" s="31">
        <f t="shared" si="1"/>
        <v>150</v>
      </c>
      <c r="Q23" s="195"/>
      <c r="R23" s="228">
        <f t="shared" si="0"/>
        <v>150</v>
      </c>
      <c r="S23" s="7"/>
      <c r="T23" s="268"/>
      <c r="U23" s="276"/>
      <c r="V23" s="277"/>
      <c r="W23" s="276"/>
      <c r="Y23" s="240" t="s">
        <v>181</v>
      </c>
      <c r="Z23" s="10" t="s">
        <v>180</v>
      </c>
      <c r="AA23" s="232">
        <v>42375</v>
      </c>
      <c r="AB23" s="239">
        <v>492</v>
      </c>
      <c r="AC23" s="281">
        <v>730</v>
      </c>
      <c r="AD23" s="239">
        <v>94.9</v>
      </c>
      <c r="AE23" s="239">
        <v>635.1</v>
      </c>
      <c r="AF23" s="238">
        <f t="shared" si="2"/>
        <v>84.899999999999977</v>
      </c>
    </row>
    <row r="24" spans="4:32">
      <c r="I24" s="207" t="s">
        <v>39</v>
      </c>
      <c r="J24" s="30" t="s">
        <v>40</v>
      </c>
      <c r="K24" s="35"/>
      <c r="L24" s="213"/>
      <c r="M24" s="224"/>
      <c r="N24" s="213">
        <f t="shared" si="3"/>
        <v>0</v>
      </c>
      <c r="O24" s="208"/>
      <c r="P24" s="31">
        <f t="shared" si="1"/>
        <v>0</v>
      </c>
      <c r="Q24" s="195"/>
      <c r="R24" s="31">
        <f t="shared" si="0"/>
        <v>0</v>
      </c>
      <c r="S24" s="7"/>
      <c r="T24" s="268"/>
      <c r="U24" s="269"/>
      <c r="V24" s="270"/>
      <c r="W24" s="275"/>
      <c r="Y24" s="240" t="s">
        <v>179</v>
      </c>
      <c r="Z24" s="10" t="s">
        <v>49</v>
      </c>
      <c r="AA24" s="232">
        <v>42897</v>
      </c>
      <c r="AB24" s="239">
        <v>12</v>
      </c>
      <c r="AC24" s="281">
        <v>21.2</v>
      </c>
      <c r="AD24" s="239">
        <v>2.64</v>
      </c>
      <c r="AE24" s="239">
        <v>18.559999999999999</v>
      </c>
      <c r="AF24" s="238">
        <f t="shared" si="2"/>
        <v>701.44</v>
      </c>
    </row>
    <row r="25" spans="4:32">
      <c r="H25" s="173" t="s">
        <v>84</v>
      </c>
      <c r="I25" s="83" t="s">
        <v>19</v>
      </c>
      <c r="J25" s="84" t="s">
        <v>20</v>
      </c>
      <c r="K25" s="85"/>
      <c r="L25" s="217">
        <f>+K25*3</f>
        <v>0</v>
      </c>
      <c r="M25" s="223"/>
      <c r="N25" s="214">
        <f t="shared" si="3"/>
        <v>0</v>
      </c>
      <c r="O25" s="88"/>
      <c r="P25" s="89">
        <f t="shared" si="1"/>
        <v>0</v>
      </c>
      <c r="Q25" s="197"/>
      <c r="R25" s="89">
        <f t="shared" si="0"/>
        <v>0</v>
      </c>
      <c r="S25" s="7"/>
      <c r="T25" s="268"/>
      <c r="U25" s="269"/>
      <c r="V25" s="270"/>
      <c r="W25" s="271"/>
      <c r="Y25" s="240" t="s">
        <v>178</v>
      </c>
      <c r="Z25" s="10" t="s">
        <v>177</v>
      </c>
      <c r="AA25" s="232" t="s">
        <v>176</v>
      </c>
      <c r="AB25" s="239">
        <v>444</v>
      </c>
      <c r="AC25" s="281">
        <v>674</v>
      </c>
      <c r="AD25" s="239">
        <v>87.62</v>
      </c>
      <c r="AE25" s="239">
        <v>586.38</v>
      </c>
      <c r="AF25" s="238">
        <f t="shared" si="2"/>
        <v>133.62</v>
      </c>
    </row>
    <row r="26" spans="4:32">
      <c r="I26" s="207" t="s">
        <v>41</v>
      </c>
      <c r="J26" s="30" t="s">
        <v>42</v>
      </c>
      <c r="K26" s="35"/>
      <c r="L26" s="213"/>
      <c r="M26" s="224"/>
      <c r="N26" s="213">
        <f t="shared" si="3"/>
        <v>0</v>
      </c>
      <c r="O26" s="208">
        <v>48</v>
      </c>
      <c r="P26" s="31">
        <f t="shared" si="1"/>
        <v>150</v>
      </c>
      <c r="Q26" s="195"/>
      <c r="R26" s="228">
        <f t="shared" si="0"/>
        <v>150</v>
      </c>
      <c r="S26" s="7"/>
      <c r="T26" s="268"/>
      <c r="U26" s="269"/>
      <c r="V26" s="272"/>
      <c r="W26" s="275"/>
      <c r="Y26" s="240" t="s">
        <v>175</v>
      </c>
      <c r="Z26" s="10" t="s">
        <v>57</v>
      </c>
      <c r="AA26" s="232">
        <v>42889</v>
      </c>
      <c r="AB26" s="239">
        <v>528</v>
      </c>
      <c r="AC26" s="281">
        <v>772</v>
      </c>
      <c r="AD26" s="239">
        <v>90.63</v>
      </c>
      <c r="AE26" s="239">
        <v>681.37</v>
      </c>
      <c r="AF26" s="238">
        <f t="shared" si="2"/>
        <v>38.629999999999995</v>
      </c>
    </row>
    <row r="27" spans="4:32">
      <c r="I27" s="207" t="s">
        <v>26</v>
      </c>
      <c r="J27" s="30" t="s">
        <v>48</v>
      </c>
      <c r="K27" s="18"/>
      <c r="L27" s="213">
        <v>0</v>
      </c>
      <c r="M27" s="225"/>
      <c r="N27" s="213">
        <f t="shared" si="3"/>
        <v>0</v>
      </c>
      <c r="O27" s="208">
        <v>1</v>
      </c>
      <c r="P27" s="31">
        <f t="shared" si="1"/>
        <v>6</v>
      </c>
      <c r="Q27" s="195"/>
      <c r="R27" s="228">
        <f>+L27+N30+P27+Q27</f>
        <v>6</v>
      </c>
      <c r="S27" s="7"/>
      <c r="T27" s="274"/>
      <c r="U27" s="269"/>
      <c r="V27" s="270"/>
      <c r="W27" s="278"/>
      <c r="Y27" s="130"/>
      <c r="Z27" s="237"/>
      <c r="AA27" s="236"/>
      <c r="AB27" s="235">
        <f>SUM(AB11:AB26)</f>
        <v>6358.28</v>
      </c>
      <c r="AC27" s="283">
        <f>SUM(AC11:AC26)</f>
        <v>9334.39</v>
      </c>
      <c r="AD27" s="235">
        <f>SUM(AD11:AD26)</f>
        <v>1192.8600000000001</v>
      </c>
      <c r="AE27" s="235">
        <f>SUM(AE11:AE26)</f>
        <v>8141.53</v>
      </c>
      <c r="AF27" s="234"/>
    </row>
    <row r="28" spans="4:32">
      <c r="I28" s="207" t="s">
        <v>67</v>
      </c>
      <c r="J28" s="28" t="s">
        <v>68</v>
      </c>
      <c r="K28" s="18"/>
      <c r="L28" s="213">
        <v>0</v>
      </c>
      <c r="M28" s="225"/>
      <c r="N28" s="213">
        <f t="shared" si="3"/>
        <v>0</v>
      </c>
      <c r="O28" s="22"/>
      <c r="P28" s="31">
        <f t="shared" si="1"/>
        <v>0</v>
      </c>
      <c r="Q28" s="196"/>
      <c r="R28" s="31">
        <f t="shared" si="0"/>
        <v>0</v>
      </c>
      <c r="S28" s="7"/>
      <c r="T28" s="268"/>
      <c r="U28" s="276"/>
      <c r="V28" s="277"/>
      <c r="W28" s="279"/>
      <c r="Y28" s="233"/>
      <c r="Z28" s="10"/>
      <c r="AA28" s="232"/>
      <c r="AB28" s="231"/>
      <c r="AC28" s="231"/>
      <c r="AD28" s="231"/>
      <c r="AE28" s="231"/>
      <c r="AF28" s="230"/>
    </row>
    <row r="29" spans="4:32">
      <c r="H29" s="173" t="s">
        <v>84</v>
      </c>
      <c r="I29" s="83" t="s">
        <v>21</v>
      </c>
      <c r="J29" s="84" t="s">
        <v>152</v>
      </c>
      <c r="K29" s="85"/>
      <c r="L29" s="217">
        <v>0</v>
      </c>
      <c r="M29" s="223"/>
      <c r="N29" s="214">
        <v>0</v>
      </c>
      <c r="O29" s="88"/>
      <c r="P29" s="89">
        <f t="shared" si="1"/>
        <v>0</v>
      </c>
      <c r="Q29" s="197"/>
      <c r="R29" s="89">
        <f t="shared" si="0"/>
        <v>0</v>
      </c>
      <c r="S29" s="7"/>
      <c r="T29" s="268"/>
      <c r="U29" s="269"/>
      <c r="V29" s="270"/>
      <c r="W29" s="275"/>
      <c r="Y29" s="289" t="s">
        <v>233</v>
      </c>
      <c r="Z29" s="264"/>
      <c r="AA29" s="264"/>
      <c r="AB29" s="264"/>
      <c r="AC29" s="250" t="s">
        <v>229</v>
      </c>
      <c r="AD29" s="249" t="s">
        <v>213</v>
      </c>
      <c r="AE29" s="249"/>
    </row>
    <row r="30" spans="4:32">
      <c r="H30" s="174" t="s">
        <v>153</v>
      </c>
      <c r="I30" s="83" t="s">
        <v>43</v>
      </c>
      <c r="J30" s="84" t="s">
        <v>73</v>
      </c>
      <c r="K30" s="85"/>
      <c r="L30" s="217">
        <v>0</v>
      </c>
      <c r="M30" s="223"/>
      <c r="N30" s="217">
        <f>+M27*3</f>
        <v>0</v>
      </c>
      <c r="O30" s="88">
        <v>1</v>
      </c>
      <c r="P30" s="89">
        <f t="shared" si="1"/>
        <v>6</v>
      </c>
      <c r="Q30" s="197"/>
      <c r="R30" s="89">
        <f>+L30+N32+P30+Q30</f>
        <v>6</v>
      </c>
      <c r="S30" s="7"/>
      <c r="T30" s="268"/>
      <c r="U30" s="269"/>
      <c r="V30" s="270"/>
      <c r="W30" s="271"/>
      <c r="Y30" s="259" t="s">
        <v>228</v>
      </c>
      <c r="Z30" s="263" t="s">
        <v>227</v>
      </c>
      <c r="AA30" s="262"/>
      <c r="AB30" s="262"/>
      <c r="AC30" s="250" t="s">
        <v>226</v>
      </c>
      <c r="AD30" s="261" t="s">
        <v>213</v>
      </c>
      <c r="AE30" s="261"/>
    </row>
    <row r="31" spans="4:32">
      <c r="H31" s="4"/>
      <c r="I31" s="113" t="s">
        <v>44</v>
      </c>
      <c r="J31" s="114" t="s">
        <v>45</v>
      </c>
      <c r="K31" s="120"/>
      <c r="L31" s="215">
        <f>+K31*3</f>
        <v>0</v>
      </c>
      <c r="M31" s="227"/>
      <c r="N31" s="213">
        <v>0</v>
      </c>
      <c r="O31" s="117"/>
      <c r="P31" s="31">
        <f>IF(O31&gt;25,150,(O31)*6)</f>
        <v>0</v>
      </c>
      <c r="Q31" s="196"/>
      <c r="R31" s="23">
        <f t="shared" si="0"/>
        <v>0</v>
      </c>
      <c r="S31" s="7"/>
      <c r="T31" s="268"/>
      <c r="U31" s="269"/>
      <c r="V31" s="272"/>
      <c r="W31" s="275"/>
      <c r="Y31" s="259" t="s">
        <v>225</v>
      </c>
      <c r="Z31" s="251" t="s">
        <v>224</v>
      </c>
      <c r="AA31" s="250" t="s">
        <v>223</v>
      </c>
      <c r="AB31" s="255">
        <v>43256</v>
      </c>
      <c r="AC31" s="258" t="s">
        <v>222</v>
      </c>
      <c r="AD31" s="257">
        <v>2018</v>
      </c>
      <c r="AE31" s="10"/>
    </row>
    <row r="32" spans="4:32" s="4" customFormat="1">
      <c r="D32" s="3"/>
      <c r="F32" s="166"/>
      <c r="I32" s="113" t="s">
        <v>14</v>
      </c>
      <c r="J32" s="114" t="s">
        <v>66</v>
      </c>
      <c r="K32" s="120"/>
      <c r="L32" s="215">
        <f>+K32*3</f>
        <v>0</v>
      </c>
      <c r="M32" s="227"/>
      <c r="N32" s="213">
        <f>+M30*3</f>
        <v>0</v>
      </c>
      <c r="O32" s="117">
        <v>44</v>
      </c>
      <c r="P32" s="31">
        <f>IF(O32&gt;25,150,(O32)*6)</f>
        <v>150</v>
      </c>
      <c r="Q32" s="196"/>
      <c r="R32" s="229">
        <f t="shared" si="0"/>
        <v>150</v>
      </c>
      <c r="S32" s="7"/>
      <c r="T32" s="274"/>
      <c r="U32" s="269"/>
      <c r="V32" s="270"/>
      <c r="W32" s="278"/>
      <c r="Y32" s="252" t="s">
        <v>221</v>
      </c>
      <c r="Z32" s="251" t="s">
        <v>220</v>
      </c>
      <c r="AA32" s="250" t="s">
        <v>219</v>
      </c>
      <c r="AB32" s="254" t="s">
        <v>218</v>
      </c>
      <c r="AC32" s="250" t="s">
        <v>217</v>
      </c>
      <c r="AD32" s="255">
        <v>43348</v>
      </c>
      <c r="AE32" s="249"/>
    </row>
    <row r="33" spans="8:31">
      <c r="I33" s="207" t="s">
        <v>15</v>
      </c>
      <c r="J33" s="28" t="s">
        <v>16</v>
      </c>
      <c r="K33" s="18"/>
      <c r="L33" s="213">
        <f>+K33*3</f>
        <v>0</v>
      </c>
      <c r="M33" s="20"/>
      <c r="N33" s="213">
        <f>5*M33</f>
        <v>0</v>
      </c>
      <c r="O33" s="208"/>
      <c r="P33" s="23">
        <f t="shared" ref="P33:P42" si="4">IF(O33&gt;25,150,(O33)*6)</f>
        <v>0</v>
      </c>
      <c r="Q33" s="196"/>
      <c r="R33" s="23">
        <f t="shared" si="0"/>
        <v>0</v>
      </c>
      <c r="S33" s="7"/>
      <c r="T33" s="268"/>
      <c r="U33" s="276"/>
      <c r="V33" s="277"/>
      <c r="W33" s="279"/>
      <c r="Y33" s="252" t="s">
        <v>216</v>
      </c>
      <c r="Z33" s="251" t="s">
        <v>215</v>
      </c>
      <c r="AA33" s="250" t="s">
        <v>214</v>
      </c>
      <c r="AB33" s="249" t="s">
        <v>213</v>
      </c>
      <c r="AC33" s="250" t="s">
        <v>212</v>
      </c>
      <c r="AD33" s="249" t="s">
        <v>211</v>
      </c>
      <c r="AE33" s="249"/>
    </row>
    <row r="34" spans="8:31" ht="17.25" thickBot="1">
      <c r="I34" s="207" t="s">
        <v>17</v>
      </c>
      <c r="J34" s="30" t="s">
        <v>119</v>
      </c>
      <c r="K34" s="35"/>
      <c r="L34" s="213"/>
      <c r="M34" s="208"/>
      <c r="N34" s="213">
        <v>0</v>
      </c>
      <c r="O34" s="208"/>
      <c r="P34" s="31">
        <f t="shared" si="4"/>
        <v>0</v>
      </c>
      <c r="Q34" s="195"/>
      <c r="R34" s="31">
        <f t="shared" si="0"/>
        <v>0</v>
      </c>
      <c r="S34" s="7"/>
      <c r="T34" s="270"/>
      <c r="U34" s="269"/>
      <c r="V34" s="270"/>
      <c r="W34" s="275"/>
      <c r="Y34" s="247" t="s">
        <v>210</v>
      </c>
      <c r="Z34" s="247" t="s">
        <v>209</v>
      </c>
      <c r="AA34" s="246" t="s">
        <v>208</v>
      </c>
      <c r="AB34" s="246" t="s">
        <v>207</v>
      </c>
      <c r="AC34" s="246" t="s">
        <v>206</v>
      </c>
      <c r="AD34" s="246" t="s">
        <v>205</v>
      </c>
      <c r="AE34" s="246" t="s">
        <v>204</v>
      </c>
    </row>
    <row r="35" spans="8:31">
      <c r="I35" s="113" t="s">
        <v>75</v>
      </c>
      <c r="J35" s="114" t="s">
        <v>76</v>
      </c>
      <c r="K35" s="115"/>
      <c r="L35" s="215"/>
      <c r="M35" s="117"/>
      <c r="N35" s="215">
        <f>+M35*3</f>
        <v>0</v>
      </c>
      <c r="O35" s="117">
        <v>17</v>
      </c>
      <c r="P35" s="31">
        <f t="shared" si="4"/>
        <v>102</v>
      </c>
      <c r="Q35" s="195"/>
      <c r="R35" s="228">
        <f t="shared" si="0"/>
        <v>102</v>
      </c>
      <c r="S35" s="7"/>
      <c r="T35" s="268"/>
      <c r="U35" s="269"/>
      <c r="V35" s="270"/>
      <c r="W35" s="271"/>
      <c r="Y35" s="240" t="s">
        <v>202</v>
      </c>
      <c r="Z35" s="10" t="s">
        <v>201</v>
      </c>
      <c r="AA35" s="232">
        <v>43102</v>
      </c>
      <c r="AB35" s="239">
        <v>444</v>
      </c>
      <c r="AC35" s="239">
        <v>674</v>
      </c>
      <c r="AD35" s="239">
        <v>87.62</v>
      </c>
      <c r="AE35" s="239">
        <v>586.38</v>
      </c>
    </row>
    <row r="36" spans="8:31">
      <c r="I36" s="113" t="s">
        <v>146</v>
      </c>
      <c r="J36" s="114" t="s">
        <v>55</v>
      </c>
      <c r="K36" s="115"/>
      <c r="L36" s="215"/>
      <c r="M36" s="117"/>
      <c r="N36" s="215">
        <v>0</v>
      </c>
      <c r="O36" s="117"/>
      <c r="P36" s="31">
        <f t="shared" si="4"/>
        <v>0</v>
      </c>
      <c r="Q36" s="195"/>
      <c r="R36" s="31">
        <f t="shared" si="0"/>
        <v>0</v>
      </c>
      <c r="S36" s="7"/>
      <c r="T36" s="268"/>
      <c r="U36" s="269"/>
      <c r="V36" s="272"/>
      <c r="W36" s="273"/>
      <c r="Y36" s="240" t="s">
        <v>200</v>
      </c>
      <c r="Z36" s="10" t="s">
        <v>199</v>
      </c>
      <c r="AA36" s="232">
        <v>42837</v>
      </c>
      <c r="AB36" s="239">
        <v>204</v>
      </c>
      <c r="AC36" s="239">
        <v>344.8</v>
      </c>
      <c r="AD36" s="239">
        <v>44.82</v>
      </c>
      <c r="AE36" s="239">
        <v>299.98</v>
      </c>
    </row>
    <row r="37" spans="8:31">
      <c r="I37" s="113" t="s">
        <v>69</v>
      </c>
      <c r="J37" s="114" t="s">
        <v>70</v>
      </c>
      <c r="K37" s="115"/>
      <c r="L37" s="215">
        <v>0</v>
      </c>
      <c r="M37" s="117"/>
      <c r="N37" s="215">
        <f>+M37*3</f>
        <v>0</v>
      </c>
      <c r="O37" s="117">
        <v>42</v>
      </c>
      <c r="P37" s="31">
        <f t="shared" si="4"/>
        <v>150</v>
      </c>
      <c r="Q37" s="195"/>
      <c r="R37" s="228">
        <f t="shared" si="0"/>
        <v>150</v>
      </c>
      <c r="S37" s="7"/>
      <c r="T37" s="274"/>
      <c r="U37" s="269"/>
      <c r="V37" s="270"/>
      <c r="W37" s="275"/>
      <c r="Y37" s="240" t="s">
        <v>198</v>
      </c>
      <c r="Z37" s="10" t="s">
        <v>143</v>
      </c>
      <c r="AA37" s="232">
        <v>42837</v>
      </c>
      <c r="AB37" s="239">
        <v>540</v>
      </c>
      <c r="AC37" s="239">
        <v>786</v>
      </c>
      <c r="AD37" s="239">
        <v>102.18</v>
      </c>
      <c r="AE37" s="239">
        <v>683.82</v>
      </c>
    </row>
    <row r="38" spans="8:31">
      <c r="I38" s="207" t="s">
        <v>91</v>
      </c>
      <c r="J38" s="30" t="s">
        <v>92</v>
      </c>
      <c r="K38" s="35"/>
      <c r="L38" s="213">
        <v>0</v>
      </c>
      <c r="M38" s="208"/>
      <c r="N38" s="213">
        <f>+M38*3</f>
        <v>0</v>
      </c>
      <c r="O38" s="208">
        <v>37</v>
      </c>
      <c r="P38" s="31">
        <f t="shared" si="4"/>
        <v>150</v>
      </c>
      <c r="Q38" s="195"/>
      <c r="R38" s="228">
        <f t="shared" si="0"/>
        <v>150</v>
      </c>
      <c r="S38" s="7"/>
      <c r="T38" s="268"/>
      <c r="U38" s="276"/>
      <c r="V38" s="277"/>
      <c r="W38" s="276"/>
      <c r="Y38" s="240" t="s">
        <v>197</v>
      </c>
      <c r="Z38" s="10" t="s">
        <v>196</v>
      </c>
      <c r="AA38" s="232">
        <v>42046</v>
      </c>
      <c r="AB38" s="239">
        <v>274.27999999999997</v>
      </c>
      <c r="AC38" s="239">
        <v>323.58999999999997</v>
      </c>
      <c r="AD38" s="239">
        <v>42.07</v>
      </c>
      <c r="AE38" s="239">
        <v>281.52</v>
      </c>
    </row>
    <row r="39" spans="8:31">
      <c r="I39" s="207" t="s">
        <v>93</v>
      </c>
      <c r="J39" s="28" t="s">
        <v>94</v>
      </c>
      <c r="K39" s="18"/>
      <c r="L39" s="213">
        <v>0</v>
      </c>
      <c r="M39" s="20"/>
      <c r="N39" s="213">
        <v>0</v>
      </c>
      <c r="O39" s="208"/>
      <c r="P39" s="31">
        <f t="shared" si="4"/>
        <v>0</v>
      </c>
      <c r="Q39" s="196"/>
      <c r="R39" s="31">
        <f t="shared" si="0"/>
        <v>0</v>
      </c>
      <c r="S39" s="7"/>
      <c r="T39" s="270"/>
      <c r="U39" s="269"/>
      <c r="V39" s="270"/>
      <c r="W39" s="275"/>
      <c r="Y39" s="240" t="s">
        <v>195</v>
      </c>
      <c r="Z39" s="10" t="s">
        <v>194</v>
      </c>
      <c r="AA39" s="232">
        <v>42801</v>
      </c>
      <c r="AB39" s="239">
        <v>144</v>
      </c>
      <c r="AC39" s="239">
        <v>243.6</v>
      </c>
      <c r="AD39" s="239">
        <v>31.67</v>
      </c>
      <c r="AE39" s="239">
        <v>211.93</v>
      </c>
    </row>
    <row r="40" spans="8:31">
      <c r="I40" s="207" t="s">
        <v>120</v>
      </c>
      <c r="J40" s="28" t="s">
        <v>121</v>
      </c>
      <c r="K40" s="18"/>
      <c r="L40" s="213">
        <v>0</v>
      </c>
      <c r="M40" s="20"/>
      <c r="N40" s="213">
        <v>0</v>
      </c>
      <c r="O40" s="208"/>
      <c r="P40" s="31">
        <f t="shared" si="4"/>
        <v>0</v>
      </c>
      <c r="Q40" s="196"/>
      <c r="R40" s="31">
        <f t="shared" si="0"/>
        <v>0</v>
      </c>
      <c r="S40" s="7"/>
      <c r="T40" s="268"/>
      <c r="U40" s="269"/>
      <c r="V40" s="270"/>
      <c r="W40" s="271"/>
      <c r="Y40" s="240" t="s">
        <v>193</v>
      </c>
      <c r="Z40" s="10" t="s">
        <v>192</v>
      </c>
      <c r="AA40" s="232">
        <v>42499</v>
      </c>
      <c r="AB40" s="239">
        <v>12</v>
      </c>
      <c r="AC40" s="239">
        <v>21.2</v>
      </c>
      <c r="AD40" s="239">
        <v>2.76</v>
      </c>
      <c r="AE40" s="239">
        <v>18.440000000000001</v>
      </c>
    </row>
    <row r="41" spans="8:31">
      <c r="I41" s="207" t="s">
        <v>125</v>
      </c>
      <c r="J41" s="28" t="s">
        <v>126</v>
      </c>
      <c r="K41" s="18"/>
      <c r="L41" s="213">
        <v>0</v>
      </c>
      <c r="M41" s="20"/>
      <c r="N41" s="213">
        <v>0</v>
      </c>
      <c r="O41" s="208">
        <v>36</v>
      </c>
      <c r="P41" s="31">
        <f t="shared" si="4"/>
        <v>150</v>
      </c>
      <c r="Q41" s="196"/>
      <c r="R41" s="228">
        <f t="shared" si="0"/>
        <v>150</v>
      </c>
      <c r="S41" s="7"/>
      <c r="T41" s="268"/>
      <c r="U41" s="269"/>
      <c r="V41" s="272"/>
      <c r="W41" s="270"/>
      <c r="Y41" s="285" t="s">
        <v>191</v>
      </c>
      <c r="Z41" s="286" t="s">
        <v>190</v>
      </c>
      <c r="AA41" s="287">
        <v>42046</v>
      </c>
      <c r="AB41" s="282">
        <v>696</v>
      </c>
      <c r="AC41" s="282">
        <v>827.2</v>
      </c>
      <c r="AD41" s="282">
        <v>107.21</v>
      </c>
      <c r="AE41" s="288">
        <v>719.99</v>
      </c>
    </row>
    <row r="42" spans="8:31">
      <c r="H42" s="173" t="s">
        <v>84</v>
      </c>
      <c r="I42" s="198" t="s">
        <v>158</v>
      </c>
      <c r="J42" s="199" t="s">
        <v>159</v>
      </c>
      <c r="K42" s="200"/>
      <c r="L42" s="218">
        <v>0</v>
      </c>
      <c r="M42" s="202"/>
      <c r="N42" s="216">
        <f>+M42*3</f>
        <v>0</v>
      </c>
      <c r="O42" s="204"/>
      <c r="P42" s="203">
        <f t="shared" si="4"/>
        <v>0</v>
      </c>
      <c r="Q42" s="205"/>
      <c r="R42" s="203">
        <f t="shared" si="0"/>
        <v>0</v>
      </c>
      <c r="S42" s="7"/>
      <c r="T42" s="268"/>
      <c r="U42" s="269"/>
      <c r="V42" s="272"/>
      <c r="W42" s="270"/>
      <c r="Y42" s="240" t="s">
        <v>189</v>
      </c>
      <c r="Z42" s="10" t="s">
        <v>188</v>
      </c>
      <c r="AA42" s="232">
        <v>43347</v>
      </c>
      <c r="AB42" s="239">
        <v>432</v>
      </c>
      <c r="AC42" s="239">
        <v>660</v>
      </c>
      <c r="AD42" s="239">
        <v>85.8</v>
      </c>
      <c r="AE42" s="239">
        <v>574.20000000000005</v>
      </c>
    </row>
    <row r="43" spans="8:31">
      <c r="I43" s="41"/>
      <c r="J43" s="42"/>
      <c r="K43" s="65">
        <f t="shared" ref="K43:Q43" si="5">SUM(K5:K42)</f>
        <v>0</v>
      </c>
      <c r="L43" s="66">
        <f t="shared" si="5"/>
        <v>0</v>
      </c>
      <c r="M43" s="65">
        <f t="shared" si="5"/>
        <v>0</v>
      </c>
      <c r="N43" s="219">
        <f t="shared" si="5"/>
        <v>0</v>
      </c>
      <c r="O43" s="56">
        <f t="shared" si="5"/>
        <v>593</v>
      </c>
      <c r="P43" s="58">
        <f t="shared" si="5"/>
        <v>2142</v>
      </c>
      <c r="Q43" s="58">
        <f t="shared" si="5"/>
        <v>0</v>
      </c>
      <c r="R43" s="57">
        <f t="shared" si="0"/>
        <v>2142</v>
      </c>
      <c r="S43" s="7"/>
      <c r="T43" s="274"/>
      <c r="U43" s="269"/>
      <c r="V43" s="270"/>
      <c r="W43" s="278"/>
      <c r="Y43" s="240" t="s">
        <v>187</v>
      </c>
      <c r="Z43" s="10" t="s">
        <v>186</v>
      </c>
      <c r="AA43" s="232">
        <v>42837</v>
      </c>
      <c r="AB43" s="239">
        <v>504</v>
      </c>
      <c r="AC43" s="239">
        <v>744</v>
      </c>
      <c r="AD43" s="239">
        <v>91.22</v>
      </c>
      <c r="AE43" s="239">
        <v>652.78</v>
      </c>
    </row>
    <row r="44" spans="8:31">
      <c r="L44" s="167" t="s">
        <v>105</v>
      </c>
      <c r="M44" s="168">
        <v>245</v>
      </c>
      <c r="N44" s="167" t="s">
        <v>105</v>
      </c>
      <c r="O44" s="168">
        <f>+O45-O43</f>
        <v>-593</v>
      </c>
      <c r="P44" s="168">
        <f>+P45-P43</f>
        <v>-2142</v>
      </c>
      <c r="Q44" s="168"/>
      <c r="R44" s="175">
        <f>+R16+R20+R21+R25+R29+R30+R42</f>
        <v>306</v>
      </c>
      <c r="S44" s="7"/>
      <c r="T44" s="268"/>
      <c r="U44" s="276"/>
      <c r="V44" s="277"/>
      <c r="W44" s="279"/>
      <c r="Y44" s="240" t="s">
        <v>185</v>
      </c>
      <c r="Z44" s="10" t="s">
        <v>184</v>
      </c>
      <c r="AA44" s="232">
        <v>42125</v>
      </c>
      <c r="AB44" s="239">
        <v>432</v>
      </c>
      <c r="AC44" s="239">
        <v>660</v>
      </c>
      <c r="AD44" s="239">
        <v>80.92</v>
      </c>
      <c r="AE44" s="239">
        <v>579.08000000000004</v>
      </c>
    </row>
    <row r="45" spans="8:31">
      <c r="L45" s="169"/>
      <c r="M45" s="170">
        <f>+M43-M44</f>
        <v>-245</v>
      </c>
      <c r="N45" s="171" t="s">
        <v>147</v>
      </c>
      <c r="O45" s="169"/>
      <c r="P45" s="169"/>
      <c r="Q45" s="176" t="s">
        <v>133</v>
      </c>
      <c r="R45" s="177">
        <f>+R43-R44</f>
        <v>1836</v>
      </c>
      <c r="S45" s="7"/>
      <c r="T45" s="270"/>
      <c r="U45" s="269"/>
      <c r="V45" s="270"/>
      <c r="W45" s="270"/>
      <c r="Y45" s="285" t="s">
        <v>183</v>
      </c>
      <c r="Z45" s="286" t="s">
        <v>74</v>
      </c>
      <c r="AA45" s="287">
        <v>42499</v>
      </c>
      <c r="AB45" s="282">
        <v>576</v>
      </c>
      <c r="AC45" s="282">
        <v>827.59</v>
      </c>
      <c r="AD45" s="282">
        <v>107.59</v>
      </c>
      <c r="AE45" s="288">
        <v>720</v>
      </c>
    </row>
    <row r="46" spans="8:31">
      <c r="T46" s="270"/>
      <c r="U46" s="269"/>
      <c r="V46" s="270"/>
      <c r="W46" s="270"/>
      <c r="Y46" s="285" t="s">
        <v>182</v>
      </c>
      <c r="Z46" s="286" t="s">
        <v>51</v>
      </c>
      <c r="AA46" s="287">
        <v>42375</v>
      </c>
      <c r="AB46" s="282">
        <v>624</v>
      </c>
      <c r="AC46" s="282">
        <v>827.6</v>
      </c>
      <c r="AD46" s="282">
        <v>107.59</v>
      </c>
      <c r="AE46" s="288">
        <v>720.01</v>
      </c>
    </row>
    <row r="47" spans="8:31">
      <c r="Q47">
        <f>186/31</f>
        <v>6</v>
      </c>
      <c r="T47" s="270"/>
      <c r="U47" s="269"/>
      <c r="V47" s="270"/>
      <c r="W47" s="270"/>
      <c r="Y47" s="240" t="s">
        <v>181</v>
      </c>
      <c r="Z47" s="10" t="s">
        <v>180</v>
      </c>
      <c r="AA47" s="232">
        <v>42375</v>
      </c>
      <c r="AB47" s="239">
        <v>492</v>
      </c>
      <c r="AC47" s="239">
        <v>730</v>
      </c>
      <c r="AD47" s="239">
        <v>94.9</v>
      </c>
      <c r="AE47" s="239">
        <v>635.1</v>
      </c>
    </row>
    <row r="48" spans="8:31">
      <c r="P48" s="67"/>
      <c r="T48" s="270"/>
      <c r="U48" s="269"/>
      <c r="V48" s="270"/>
      <c r="W48" s="270"/>
      <c r="Y48" s="240" t="s">
        <v>179</v>
      </c>
      <c r="Z48" s="10" t="s">
        <v>49</v>
      </c>
      <c r="AA48" s="232">
        <v>42897</v>
      </c>
      <c r="AB48" s="239">
        <v>12</v>
      </c>
      <c r="AC48" s="239">
        <v>21.2</v>
      </c>
      <c r="AD48" s="239">
        <v>2.64</v>
      </c>
      <c r="AE48" s="239">
        <v>18.559999999999999</v>
      </c>
    </row>
    <row r="49" spans="16:35">
      <c r="P49" s="67"/>
      <c r="T49" s="270"/>
      <c r="U49" s="269"/>
      <c r="V49" s="270"/>
      <c r="W49" s="270"/>
      <c r="Y49" s="240" t="s">
        <v>178</v>
      </c>
      <c r="Z49" s="10" t="s">
        <v>177</v>
      </c>
      <c r="AA49" s="232" t="s">
        <v>176</v>
      </c>
      <c r="AB49" s="239">
        <v>444</v>
      </c>
      <c r="AC49" s="239">
        <v>674</v>
      </c>
      <c r="AD49" s="239">
        <v>87.62</v>
      </c>
      <c r="AE49" s="239">
        <v>586.38</v>
      </c>
    </row>
    <row r="50" spans="16:35">
      <c r="T50" s="270"/>
      <c r="U50" s="269"/>
      <c r="V50" s="270"/>
      <c r="W50" s="270"/>
      <c r="Y50" s="240" t="s">
        <v>175</v>
      </c>
      <c r="Z50" s="10" t="s">
        <v>57</v>
      </c>
      <c r="AA50" s="232">
        <v>42889</v>
      </c>
      <c r="AB50" s="239">
        <v>528</v>
      </c>
      <c r="AC50" s="239">
        <v>772</v>
      </c>
      <c r="AD50" s="239">
        <v>90.63</v>
      </c>
      <c r="AE50" s="239">
        <v>681.37</v>
      </c>
    </row>
    <row r="51" spans="16:35">
      <c r="T51" s="270"/>
      <c r="U51" s="269"/>
      <c r="V51" s="270"/>
      <c r="W51" s="270"/>
      <c r="Y51" s="130"/>
      <c r="Z51" s="237"/>
      <c r="AA51" s="236"/>
      <c r="AB51" s="235">
        <f>SUM(AB35:AB50)</f>
        <v>6358.28</v>
      </c>
      <c r="AC51" s="235">
        <f>SUM(AC35:AC50)</f>
        <v>9136.7799999999988</v>
      </c>
      <c r="AD51" s="235">
        <f>SUM(AD35:AD50)</f>
        <v>1167.2400000000002</v>
      </c>
      <c r="AE51" s="235">
        <f>SUM(AE35:AE50)</f>
        <v>7969.5400000000009</v>
      </c>
    </row>
    <row r="52" spans="16:35">
      <c r="T52" s="270"/>
      <c r="U52" s="269"/>
      <c r="V52" s="270"/>
      <c r="W52" s="270"/>
    </row>
    <row r="53" spans="16:35">
      <c r="Y53" s="291" t="s">
        <v>230</v>
      </c>
      <c r="Z53" s="292"/>
      <c r="AA53" s="292"/>
      <c r="AB53" s="292"/>
      <c r="AC53" s="293" t="s">
        <v>229</v>
      </c>
      <c r="AD53" s="294" t="s">
        <v>213</v>
      </c>
      <c r="AE53" s="295"/>
      <c r="AF53" s="248"/>
      <c r="AG53" s="249"/>
      <c r="AH53" s="249"/>
      <c r="AI53" s="254"/>
    </row>
    <row r="54" spans="16:35">
      <c r="Y54" s="296" t="s">
        <v>228</v>
      </c>
      <c r="Z54" s="297" t="s">
        <v>227</v>
      </c>
      <c r="AA54" s="298"/>
      <c r="AB54" s="298"/>
      <c r="AC54" s="299" t="s">
        <v>226</v>
      </c>
      <c r="AD54" s="260" t="s">
        <v>213</v>
      </c>
      <c r="AE54" s="300"/>
      <c r="AF54" s="260"/>
      <c r="AG54" s="261"/>
      <c r="AH54" s="261"/>
      <c r="AI54" s="254"/>
    </row>
    <row r="55" spans="16:35">
      <c r="Y55" s="296" t="s">
        <v>225</v>
      </c>
      <c r="Z55" s="301" t="s">
        <v>224</v>
      </c>
      <c r="AA55" s="299" t="s">
        <v>223</v>
      </c>
      <c r="AB55" s="302">
        <v>43256</v>
      </c>
      <c r="AC55" s="303" t="s">
        <v>222</v>
      </c>
      <c r="AD55" s="304">
        <v>2018</v>
      </c>
      <c r="AE55" s="305"/>
      <c r="AF55" s="256"/>
      <c r="AG55" s="10"/>
      <c r="AH55" s="10"/>
      <c r="AI55" s="10"/>
    </row>
    <row r="56" spans="16:35">
      <c r="Y56" s="306" t="s">
        <v>221</v>
      </c>
      <c r="Z56" s="301" t="s">
        <v>220</v>
      </c>
      <c r="AA56" s="299" t="s">
        <v>219</v>
      </c>
      <c r="AB56" s="253" t="s">
        <v>218</v>
      </c>
      <c r="AC56" s="299" t="s">
        <v>217</v>
      </c>
      <c r="AD56" s="302">
        <v>43348</v>
      </c>
      <c r="AE56" s="307"/>
      <c r="AF56" s="248"/>
      <c r="AG56" s="249"/>
      <c r="AH56" s="249"/>
      <c r="AI56" s="254"/>
    </row>
    <row r="57" spans="16:35">
      <c r="Y57" s="306" t="s">
        <v>216</v>
      </c>
      <c r="Z57" s="301" t="s">
        <v>215</v>
      </c>
      <c r="AA57" s="299" t="s">
        <v>214</v>
      </c>
      <c r="AB57" s="248" t="s">
        <v>213</v>
      </c>
      <c r="AC57" s="299" t="s">
        <v>212</v>
      </c>
      <c r="AD57" s="248" t="s">
        <v>211</v>
      </c>
      <c r="AE57" s="307"/>
      <c r="AF57" s="248"/>
      <c r="AG57" s="249"/>
      <c r="AH57" s="249"/>
      <c r="AI57" s="250"/>
    </row>
    <row r="58" spans="16:35" ht="17.25" thickBot="1">
      <c r="Y58" s="308" t="s">
        <v>210</v>
      </c>
      <c r="Z58" s="247" t="s">
        <v>209</v>
      </c>
      <c r="AA58" s="246" t="s">
        <v>208</v>
      </c>
      <c r="AB58" s="246" t="s">
        <v>207</v>
      </c>
      <c r="AC58" s="246" t="s">
        <v>206</v>
      </c>
      <c r="AD58" s="246" t="s">
        <v>205</v>
      </c>
      <c r="AE58" s="309" t="s">
        <v>204</v>
      </c>
      <c r="AF58" s="290"/>
      <c r="AG58" s="246" t="s">
        <v>237</v>
      </c>
      <c r="AH58" s="246" t="s">
        <v>236</v>
      </c>
      <c r="AI58" s="246" t="s">
        <v>235</v>
      </c>
    </row>
    <row r="59" spans="16:35">
      <c r="Y59" s="310" t="s">
        <v>202</v>
      </c>
      <c r="Z59" s="256" t="s">
        <v>201</v>
      </c>
      <c r="AA59" s="311">
        <v>43102</v>
      </c>
      <c r="AB59" s="238">
        <v>444</v>
      </c>
      <c r="AC59" s="238">
        <v>748</v>
      </c>
      <c r="AD59" s="238">
        <v>97.24</v>
      </c>
      <c r="AE59" s="312">
        <v>650.76</v>
      </c>
      <c r="AF59" s="238"/>
      <c r="AG59" s="239">
        <v>74</v>
      </c>
      <c r="AH59" s="239">
        <v>150</v>
      </c>
      <c r="AI59" s="239">
        <v>5</v>
      </c>
    </row>
    <row r="60" spans="16:35">
      <c r="Y60" s="310" t="s">
        <v>200</v>
      </c>
      <c r="Z60" s="256" t="s">
        <v>199</v>
      </c>
      <c r="AA60" s="311">
        <v>42837</v>
      </c>
      <c r="AB60" s="238">
        <v>204</v>
      </c>
      <c r="AC60" s="238">
        <v>378.8</v>
      </c>
      <c r="AD60" s="238">
        <v>49.24</v>
      </c>
      <c r="AE60" s="312">
        <v>329.56</v>
      </c>
      <c r="AF60" s="238"/>
      <c r="AG60" s="239">
        <v>34</v>
      </c>
      <c r="AH60" s="239">
        <v>102</v>
      </c>
      <c r="AI60" s="239">
        <v>4</v>
      </c>
    </row>
    <row r="61" spans="16:35">
      <c r="Y61" s="310" t="s">
        <v>198</v>
      </c>
      <c r="Z61" s="256" t="s">
        <v>143</v>
      </c>
      <c r="AA61" s="311">
        <v>42837</v>
      </c>
      <c r="AB61" s="238">
        <v>540</v>
      </c>
      <c r="AC61" s="238">
        <v>876</v>
      </c>
      <c r="AD61" s="238">
        <v>113.88</v>
      </c>
      <c r="AE61" s="312">
        <v>762.12</v>
      </c>
      <c r="AF61" s="238"/>
      <c r="AG61" s="239">
        <v>90</v>
      </c>
      <c r="AH61" s="239">
        <v>150</v>
      </c>
      <c r="AI61" s="239">
        <v>5</v>
      </c>
    </row>
    <row r="62" spans="16:35">
      <c r="Y62" s="310" t="s">
        <v>197</v>
      </c>
      <c r="Z62" s="256" t="s">
        <v>196</v>
      </c>
      <c r="AA62" s="311">
        <v>42046</v>
      </c>
      <c r="AB62" s="238">
        <v>274.27999999999997</v>
      </c>
      <c r="AC62" s="238">
        <v>369.3</v>
      </c>
      <c r="AD62" s="238">
        <v>48.01</v>
      </c>
      <c r="AE62" s="312">
        <v>321.29000000000002</v>
      </c>
      <c r="AF62" s="238"/>
      <c r="AG62" s="239">
        <v>45.71</v>
      </c>
      <c r="AH62" s="239">
        <v>0</v>
      </c>
      <c r="AI62" s="239">
        <v>3</v>
      </c>
    </row>
    <row r="63" spans="16:35">
      <c r="Y63" s="310" t="s">
        <v>195</v>
      </c>
      <c r="Z63" s="256" t="s">
        <v>194</v>
      </c>
      <c r="AA63" s="311">
        <v>42801</v>
      </c>
      <c r="AB63" s="238">
        <v>144</v>
      </c>
      <c r="AC63" s="238">
        <v>267.60000000000002</v>
      </c>
      <c r="AD63" s="238">
        <v>34.79</v>
      </c>
      <c r="AE63" s="312">
        <v>232.81</v>
      </c>
      <c r="AF63" s="238"/>
      <c r="AG63" s="239">
        <v>24</v>
      </c>
      <c r="AH63" s="239">
        <v>72</v>
      </c>
      <c r="AI63" s="239">
        <v>3</v>
      </c>
    </row>
    <row r="64" spans="16:35">
      <c r="Y64" s="310" t="s">
        <v>193</v>
      </c>
      <c r="Z64" s="256" t="s">
        <v>192</v>
      </c>
      <c r="AA64" s="311">
        <v>42499</v>
      </c>
      <c r="AB64" s="238">
        <v>12</v>
      </c>
      <c r="AC64" s="238">
        <v>23.2</v>
      </c>
      <c r="AD64" s="238">
        <v>3.02</v>
      </c>
      <c r="AE64" s="312">
        <v>20.18</v>
      </c>
      <c r="AF64" s="238"/>
      <c r="AG64" s="239">
        <v>2</v>
      </c>
      <c r="AH64" s="239">
        <v>6</v>
      </c>
      <c r="AI64" s="239">
        <v>1</v>
      </c>
    </row>
    <row r="65" spans="25:35">
      <c r="Y65" s="310" t="s">
        <v>191</v>
      </c>
      <c r="Z65" s="256" t="s">
        <v>190</v>
      </c>
      <c r="AA65" s="311">
        <v>42046</v>
      </c>
      <c r="AB65" s="238">
        <v>696</v>
      </c>
      <c r="AC65" s="238">
        <v>943.2</v>
      </c>
      <c r="AD65" s="238">
        <v>122.24</v>
      </c>
      <c r="AE65" s="312">
        <v>820.96</v>
      </c>
      <c r="AF65" s="238"/>
      <c r="AG65" s="239">
        <v>116</v>
      </c>
      <c r="AH65" s="239">
        <v>9.1999999999999993</v>
      </c>
      <c r="AI65" s="239">
        <v>5</v>
      </c>
    </row>
    <row r="66" spans="25:35">
      <c r="Y66" s="310" t="s">
        <v>189</v>
      </c>
      <c r="Z66" s="256" t="s">
        <v>188</v>
      </c>
      <c r="AA66" s="311">
        <v>43347</v>
      </c>
      <c r="AB66" s="238">
        <v>432</v>
      </c>
      <c r="AC66" s="238">
        <v>732</v>
      </c>
      <c r="AD66" s="238">
        <v>95.16</v>
      </c>
      <c r="AE66" s="312">
        <v>636.84</v>
      </c>
      <c r="AF66" s="238"/>
      <c r="AG66" s="239">
        <v>72</v>
      </c>
      <c r="AH66" s="239">
        <v>150</v>
      </c>
      <c r="AI66" s="239">
        <v>5</v>
      </c>
    </row>
    <row r="67" spans="25:35">
      <c r="Y67" s="310" t="s">
        <v>187</v>
      </c>
      <c r="Z67" s="256" t="s">
        <v>186</v>
      </c>
      <c r="AA67" s="311">
        <v>42837</v>
      </c>
      <c r="AB67" s="238">
        <v>504</v>
      </c>
      <c r="AC67" s="238">
        <v>828</v>
      </c>
      <c r="AD67" s="238">
        <v>101.51</v>
      </c>
      <c r="AE67" s="312">
        <v>726.49</v>
      </c>
      <c r="AF67" s="238"/>
      <c r="AG67" s="239">
        <v>84</v>
      </c>
      <c r="AH67" s="239">
        <v>150</v>
      </c>
      <c r="AI67" s="239">
        <v>5</v>
      </c>
    </row>
    <row r="68" spans="25:35">
      <c r="Y68" s="310" t="s">
        <v>185</v>
      </c>
      <c r="Z68" s="256" t="s">
        <v>184</v>
      </c>
      <c r="AA68" s="311">
        <v>42125</v>
      </c>
      <c r="AB68" s="238">
        <v>432</v>
      </c>
      <c r="AC68" s="238">
        <v>732</v>
      </c>
      <c r="AD68" s="238">
        <v>89.75</v>
      </c>
      <c r="AE68" s="312">
        <v>642.25</v>
      </c>
      <c r="AF68" s="238"/>
      <c r="AG68" s="239">
        <v>72</v>
      </c>
      <c r="AH68" s="239">
        <v>150</v>
      </c>
      <c r="AI68" s="239">
        <v>5</v>
      </c>
    </row>
    <row r="69" spans="25:35">
      <c r="Y69" s="310" t="s">
        <v>183</v>
      </c>
      <c r="Z69" s="256" t="s">
        <v>74</v>
      </c>
      <c r="AA69" s="311">
        <v>42499</v>
      </c>
      <c r="AB69" s="238">
        <v>576</v>
      </c>
      <c r="AC69" s="238">
        <v>923.59</v>
      </c>
      <c r="AD69" s="238">
        <v>120.07</v>
      </c>
      <c r="AE69" s="312">
        <v>803.52</v>
      </c>
      <c r="AF69" s="238"/>
      <c r="AG69" s="239">
        <v>96</v>
      </c>
      <c r="AH69" s="239">
        <v>149.59</v>
      </c>
      <c r="AI69" s="239">
        <v>5</v>
      </c>
    </row>
    <row r="70" spans="25:35">
      <c r="Y70" s="310" t="s">
        <v>182</v>
      </c>
      <c r="Z70" s="256" t="s">
        <v>51</v>
      </c>
      <c r="AA70" s="311">
        <v>42375</v>
      </c>
      <c r="AB70" s="238">
        <v>624</v>
      </c>
      <c r="AC70" s="238">
        <v>931.6</v>
      </c>
      <c r="AD70" s="238">
        <v>121.11</v>
      </c>
      <c r="AE70" s="312">
        <v>810.49</v>
      </c>
      <c r="AF70" s="238"/>
      <c r="AG70" s="239">
        <v>104</v>
      </c>
      <c r="AH70" s="239">
        <v>93.6</v>
      </c>
      <c r="AI70" s="239">
        <v>5</v>
      </c>
    </row>
    <row r="71" spans="25:35">
      <c r="Y71" s="310" t="s">
        <v>181</v>
      </c>
      <c r="Z71" s="256" t="s">
        <v>180</v>
      </c>
      <c r="AA71" s="311">
        <v>42375</v>
      </c>
      <c r="AB71" s="238">
        <v>492</v>
      </c>
      <c r="AC71" s="238">
        <v>812</v>
      </c>
      <c r="AD71" s="238">
        <v>105.56</v>
      </c>
      <c r="AE71" s="312">
        <v>706.44</v>
      </c>
      <c r="AF71" s="238"/>
      <c r="AG71" s="239">
        <v>82</v>
      </c>
      <c r="AH71" s="239">
        <v>150</v>
      </c>
      <c r="AI71" s="239">
        <v>5</v>
      </c>
    </row>
    <row r="72" spans="25:35">
      <c r="Y72" s="310" t="s">
        <v>179</v>
      </c>
      <c r="Z72" s="256" t="s">
        <v>49</v>
      </c>
      <c r="AA72" s="311">
        <v>42897</v>
      </c>
      <c r="AB72" s="238">
        <v>12</v>
      </c>
      <c r="AC72" s="238">
        <v>23.2</v>
      </c>
      <c r="AD72" s="238">
        <v>2.89</v>
      </c>
      <c r="AE72" s="312">
        <v>20.309999999999999</v>
      </c>
      <c r="AF72" s="238"/>
      <c r="AG72" s="239">
        <v>2</v>
      </c>
      <c r="AH72" s="239">
        <v>6</v>
      </c>
      <c r="AI72" s="239">
        <v>1</v>
      </c>
    </row>
    <row r="73" spans="25:35">
      <c r="Y73" s="310" t="s">
        <v>178</v>
      </c>
      <c r="Z73" s="256" t="s">
        <v>177</v>
      </c>
      <c r="AA73" s="311" t="s">
        <v>176</v>
      </c>
      <c r="AB73" s="238">
        <v>444</v>
      </c>
      <c r="AC73" s="238">
        <v>748</v>
      </c>
      <c r="AD73" s="238">
        <v>97.24</v>
      </c>
      <c r="AE73" s="312">
        <v>650.76</v>
      </c>
      <c r="AF73" s="238"/>
      <c r="AG73" s="239">
        <v>74</v>
      </c>
      <c r="AH73" s="239">
        <v>150</v>
      </c>
      <c r="AI73" s="239">
        <v>5</v>
      </c>
    </row>
    <row r="74" spans="25:35">
      <c r="Y74" s="310" t="s">
        <v>175</v>
      </c>
      <c r="Z74" s="256" t="s">
        <v>57</v>
      </c>
      <c r="AA74" s="311">
        <v>42889</v>
      </c>
      <c r="AB74" s="238">
        <v>528</v>
      </c>
      <c r="AC74" s="238">
        <v>860</v>
      </c>
      <c r="AD74" s="238">
        <v>100.97</v>
      </c>
      <c r="AE74" s="312">
        <v>759.03</v>
      </c>
      <c r="AF74" s="238"/>
      <c r="AG74" s="239">
        <v>88</v>
      </c>
      <c r="AH74" s="239">
        <v>150</v>
      </c>
      <c r="AI74" s="239">
        <v>5</v>
      </c>
    </row>
    <row r="75" spans="25:35">
      <c r="Y75" s="313"/>
      <c r="Z75" s="314"/>
      <c r="AA75" s="315"/>
      <c r="AB75" s="316">
        <f>SUM(AB59:AB74)</f>
        <v>6358.28</v>
      </c>
      <c r="AC75" s="316">
        <f>SUM(AC59:AC74)</f>
        <v>10196.490000000002</v>
      </c>
      <c r="AD75" s="316">
        <f>SUM(AD59:AD74)</f>
        <v>1302.6800000000003</v>
      </c>
      <c r="AE75" s="317">
        <f>SUM(AE59:AE74)</f>
        <v>8893.8100000000013</v>
      </c>
      <c r="AF75" s="234"/>
      <c r="AG75" s="235">
        <f>SUM(AG59:AG74)</f>
        <v>1059.71</v>
      </c>
      <c r="AH75" s="235">
        <f>SUM(AH59:AH74)</f>
        <v>1638.3899999999999</v>
      </c>
      <c r="AI75" s="235">
        <f>SUM(AI59:AI74)</f>
        <v>67</v>
      </c>
    </row>
  </sheetData>
  <mergeCells count="4">
    <mergeCell ref="I2:R2"/>
    <mergeCell ref="K3:N3"/>
    <mergeCell ref="O3:P3"/>
    <mergeCell ref="S3:U3"/>
  </mergeCells>
  <conditionalFormatting sqref="R43 R5:R6">
    <cfRule type="cellIs" dxfId="9" priority="1" operator="lessThanOrEqual">
      <formula>0</formula>
    </cfRule>
  </conditionalFormatting>
  <printOptions horizontalCentered="1"/>
  <pageMargins left="0" right="0" top="0.42" bottom="0" header="0.31496062992125984" footer="0.31496062992125984"/>
  <pageSetup paperSize="9" scale="77" orientation="portrait" r:id="rId1"/>
  <ignoredErrors>
    <ignoredError sqref="N9 R27:R30" formula="1"/>
    <ignoredError sqref="Y59:Y7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C1:W49"/>
  <sheetViews>
    <sheetView zoomScale="85" zoomScaleNormal="85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H31" sqref="H31"/>
    </sheetView>
  </sheetViews>
  <sheetFormatPr baseColWidth="10" defaultRowHeight="15"/>
  <cols>
    <col min="1" max="1" width="5.7109375" customWidth="1"/>
    <col min="2" max="2" width="0" hidden="1" customWidth="1"/>
    <col min="3" max="3" width="20.7109375" hidden="1" customWidth="1"/>
    <col min="4" max="4" width="20.7109375" style="1" hidden="1" customWidth="1"/>
    <col min="5" max="5" width="13.28515625" hidden="1" customWidth="1"/>
    <col min="6" max="6" width="10.42578125" style="2" hidden="1" customWidth="1"/>
    <col min="7" max="7" width="25.28515625" hidden="1" customWidth="1"/>
    <col min="8" max="8" width="12.5703125" bestFit="1" customWidth="1"/>
    <col min="9" max="9" width="8.7109375" customWidth="1"/>
    <col min="10" max="10" width="24.140625" customWidth="1"/>
    <col min="11" max="11" width="8.7109375" customWidth="1"/>
    <col min="12" max="12" width="10.7109375" bestFit="1" customWidth="1"/>
    <col min="13" max="13" width="8.7109375" customWidth="1"/>
    <col min="14" max="14" width="10.28515625" bestFit="1" customWidth="1"/>
    <col min="15" max="15" width="8.7109375" customWidth="1"/>
    <col min="16" max="16" width="11.42578125" customWidth="1"/>
    <col min="17" max="17" width="11.7109375" customWidth="1"/>
    <col min="18" max="18" width="12.5703125" bestFit="1" customWidth="1"/>
    <col min="19" max="19" width="6.7109375" customWidth="1"/>
    <col min="20" max="20" width="12.140625" customWidth="1"/>
    <col min="21" max="21" width="10.5703125" style="181" customWidth="1"/>
    <col min="22" max="22" width="9.42578125" customWidth="1"/>
    <col min="23" max="23" width="20.7109375" customWidth="1"/>
    <col min="24" max="24" width="14.7109375" customWidth="1"/>
    <col min="25" max="25" width="16.28515625" bestFit="1" customWidth="1"/>
    <col min="27" max="27" width="18.7109375" bestFit="1" customWidth="1"/>
  </cols>
  <sheetData>
    <row r="1" spans="8:23" ht="5.0999999999999996" customHeight="1"/>
    <row r="2" spans="8:23">
      <c r="I2" s="418" t="s">
        <v>167</v>
      </c>
      <c r="J2" s="418"/>
      <c r="K2" s="418"/>
      <c r="L2" s="418"/>
      <c r="M2" s="418"/>
      <c r="N2" s="418"/>
      <c r="O2" s="418"/>
      <c r="P2" s="418"/>
      <c r="Q2" s="418"/>
      <c r="R2" s="418"/>
      <c r="T2" s="43"/>
    </row>
    <row r="3" spans="8:23">
      <c r="I3" s="11"/>
      <c r="J3" s="11"/>
      <c r="K3" s="419" t="s">
        <v>58</v>
      </c>
      <c r="L3" s="420"/>
      <c r="M3" s="420"/>
      <c r="N3" s="421"/>
      <c r="O3" s="420" t="s">
        <v>59</v>
      </c>
      <c r="P3" s="421"/>
      <c r="Q3" s="11"/>
      <c r="R3" s="11"/>
      <c r="S3" s="424">
        <f ca="1">+TODAY()</f>
        <v>43292</v>
      </c>
      <c r="T3" s="425"/>
    </row>
    <row r="4" spans="8:23" ht="40.5">
      <c r="I4" s="12" t="s">
        <v>11</v>
      </c>
      <c r="J4" s="12" t="s">
        <v>3</v>
      </c>
      <c r="K4" s="64" t="s">
        <v>23</v>
      </c>
      <c r="L4" s="64" t="s">
        <v>77</v>
      </c>
      <c r="M4" s="13" t="s">
        <v>23</v>
      </c>
      <c r="N4" s="13" t="s">
        <v>168</v>
      </c>
      <c r="O4" s="13" t="s">
        <v>23</v>
      </c>
      <c r="P4" s="13" t="s">
        <v>169</v>
      </c>
      <c r="Q4" s="13" t="s">
        <v>170</v>
      </c>
      <c r="R4" s="14" t="s">
        <v>60</v>
      </c>
      <c r="S4" s="7"/>
    </row>
    <row r="5" spans="8:23">
      <c r="I5" s="16" t="s">
        <v>61</v>
      </c>
      <c r="J5" s="17" t="s">
        <v>62</v>
      </c>
      <c r="K5" s="18"/>
      <c r="L5" s="184">
        <f>+K5*3</f>
        <v>0</v>
      </c>
      <c r="M5" s="20">
        <v>7</v>
      </c>
      <c r="N5" s="21">
        <f>+M5*3</f>
        <v>21</v>
      </c>
      <c r="O5" s="22"/>
      <c r="P5" s="23"/>
      <c r="Q5" s="210"/>
      <c r="R5" s="211">
        <f>+L5+N5+P5+Q5</f>
        <v>21</v>
      </c>
      <c r="S5" s="7"/>
      <c r="T5" s="137">
        <v>1000.8</v>
      </c>
      <c r="U5" s="182">
        <v>130.1</v>
      </c>
      <c r="V5" s="139">
        <v>870.7</v>
      </c>
      <c r="W5" s="160" t="s">
        <v>143</v>
      </c>
    </row>
    <row r="6" spans="8:23">
      <c r="I6" s="193" t="s">
        <v>4</v>
      </c>
      <c r="J6" s="28" t="s">
        <v>12</v>
      </c>
      <c r="K6" s="18"/>
      <c r="L6" s="185">
        <f>+K6*3</f>
        <v>0</v>
      </c>
      <c r="M6" s="20">
        <v>1</v>
      </c>
      <c r="N6" s="21">
        <v>0</v>
      </c>
      <c r="O6" s="22"/>
      <c r="P6" s="23"/>
      <c r="Q6" s="196"/>
      <c r="R6" s="209">
        <f t="shared" ref="R6:R43" si="0">+L6+N6+P6+Q6</f>
        <v>0</v>
      </c>
      <c r="S6" s="7"/>
      <c r="T6" s="140">
        <f>+U6+V6</f>
        <v>827.58240496152519</v>
      </c>
      <c r="U6" s="183">
        <f>+U5*V6/V5</f>
        <v>107.5824049615252</v>
      </c>
      <c r="V6" s="141">
        <v>720</v>
      </c>
      <c r="W6" s="161">
        <v>740.02</v>
      </c>
    </row>
    <row r="7" spans="8:23">
      <c r="H7" s="174" t="s">
        <v>166</v>
      </c>
      <c r="I7" s="83" t="s">
        <v>1</v>
      </c>
      <c r="J7" s="84" t="s">
        <v>56</v>
      </c>
      <c r="K7" s="85"/>
      <c r="L7" s="186">
        <f>+K7*3</f>
        <v>0</v>
      </c>
      <c r="M7" s="191">
        <v>12</v>
      </c>
      <c r="N7" s="89">
        <f>+M7*3</f>
        <v>36</v>
      </c>
      <c r="O7" s="88"/>
      <c r="P7" s="89">
        <f>IF(O7&gt;25,150,(O7)*6)</f>
        <v>0</v>
      </c>
      <c r="Q7" s="197"/>
      <c r="R7" s="206">
        <f t="shared" si="0"/>
        <v>36</v>
      </c>
      <c r="S7" s="7"/>
      <c r="T7" s="142">
        <f>+T5-T6</f>
        <v>173.21759503847477</v>
      </c>
      <c r="U7" s="183"/>
      <c r="V7" s="143"/>
      <c r="W7" s="162"/>
    </row>
    <row r="8" spans="8:23">
      <c r="I8" s="113" t="s">
        <v>2</v>
      </c>
      <c r="J8" s="114" t="s">
        <v>47</v>
      </c>
      <c r="K8" s="115"/>
      <c r="L8" s="187"/>
      <c r="M8" s="117"/>
      <c r="N8" s="21">
        <f>+M8*3</f>
        <v>0</v>
      </c>
      <c r="O8" s="117">
        <v>26</v>
      </c>
      <c r="P8" s="31">
        <f>IF(O8&gt;25,150,(O8)*6)</f>
        <v>150</v>
      </c>
      <c r="Q8" s="195"/>
      <c r="R8" s="31">
        <f t="shared" si="0"/>
        <v>150</v>
      </c>
      <c r="S8" s="7"/>
      <c r="T8" s="144">
        <v>150</v>
      </c>
      <c r="U8" s="163">
        <f>+T8-T7</f>
        <v>-23.217595038474769</v>
      </c>
      <c r="V8" s="164" t="s">
        <v>144</v>
      </c>
      <c r="W8" s="165">
        <v>0.01</v>
      </c>
    </row>
    <row r="9" spans="8:23">
      <c r="I9" s="193" t="s">
        <v>0</v>
      </c>
      <c r="J9" s="28" t="s">
        <v>7</v>
      </c>
      <c r="K9" s="18"/>
      <c r="L9" s="185">
        <f>+K9*5</f>
        <v>0</v>
      </c>
      <c r="M9" s="20">
        <v>10</v>
      </c>
      <c r="N9" s="21">
        <f>5*M9</f>
        <v>50</v>
      </c>
      <c r="O9" s="22"/>
      <c r="P9" s="23">
        <v>0</v>
      </c>
      <c r="Q9" s="196"/>
      <c r="R9" s="23">
        <f t="shared" si="0"/>
        <v>50</v>
      </c>
      <c r="S9" s="7"/>
      <c r="T9" s="26"/>
      <c r="W9" s="162"/>
    </row>
    <row r="10" spans="8:23">
      <c r="I10" s="193" t="s">
        <v>5</v>
      </c>
      <c r="J10" s="30" t="s">
        <v>71</v>
      </c>
      <c r="K10" s="18"/>
      <c r="L10" s="185">
        <f>+K10*3</f>
        <v>0</v>
      </c>
      <c r="M10" s="194">
        <v>12</v>
      </c>
      <c r="N10" s="21">
        <f>+M10*3</f>
        <v>36</v>
      </c>
      <c r="O10" s="194"/>
      <c r="P10" s="31">
        <f t="shared" ref="P10:P30" si="1">IF(O10&gt;25,150,(O10)*6)</f>
        <v>0</v>
      </c>
      <c r="Q10" s="195">
        <v>10</v>
      </c>
      <c r="R10" s="31">
        <f t="shared" si="0"/>
        <v>46</v>
      </c>
      <c r="S10" s="7"/>
      <c r="T10" s="137">
        <v>838.8</v>
      </c>
      <c r="U10" s="182">
        <v>108.71</v>
      </c>
      <c r="V10" s="139">
        <v>730.09</v>
      </c>
      <c r="W10" s="160" t="s">
        <v>52</v>
      </c>
    </row>
    <row r="11" spans="8:23">
      <c r="I11" s="193" t="s">
        <v>27</v>
      </c>
      <c r="J11" s="30" t="s">
        <v>28</v>
      </c>
      <c r="K11" s="18"/>
      <c r="L11" s="185">
        <v>0</v>
      </c>
      <c r="M11" s="194">
        <v>11</v>
      </c>
      <c r="N11" s="21">
        <f>+M11*3</f>
        <v>33</v>
      </c>
      <c r="O11" s="194"/>
      <c r="P11" s="31">
        <f t="shared" si="1"/>
        <v>0</v>
      </c>
      <c r="Q11" s="195"/>
      <c r="R11" s="31">
        <f t="shared" si="0"/>
        <v>33</v>
      </c>
      <c r="S11" s="7"/>
      <c r="T11" s="140">
        <f>+U11+V11</f>
        <v>827.20760454190577</v>
      </c>
      <c r="U11" s="183">
        <f>+U10*V11/V10</f>
        <v>107.20760454190578</v>
      </c>
      <c r="V11" s="141">
        <v>720</v>
      </c>
      <c r="W11" s="162"/>
    </row>
    <row r="12" spans="8:23">
      <c r="I12" s="193" t="s">
        <v>8</v>
      </c>
      <c r="J12" s="30" t="s">
        <v>29</v>
      </c>
      <c r="K12" s="35"/>
      <c r="L12" s="185"/>
      <c r="M12" s="194"/>
      <c r="N12" s="21">
        <v>0</v>
      </c>
      <c r="O12" s="194">
        <v>27</v>
      </c>
      <c r="P12" s="31">
        <f t="shared" si="1"/>
        <v>150</v>
      </c>
      <c r="Q12" s="195"/>
      <c r="R12" s="31">
        <f t="shared" si="0"/>
        <v>150</v>
      </c>
      <c r="S12" s="7"/>
      <c r="T12" s="142">
        <f>+T10-T11</f>
        <v>11.592395458094188</v>
      </c>
      <c r="U12" s="183"/>
      <c r="V12" s="143"/>
      <c r="W12" s="4" t="s">
        <v>145</v>
      </c>
    </row>
    <row r="13" spans="8:23">
      <c r="I13" s="193" t="s">
        <v>63</v>
      </c>
      <c r="J13" s="30" t="s">
        <v>33</v>
      </c>
      <c r="K13" s="35"/>
      <c r="L13" s="185"/>
      <c r="M13" s="194"/>
      <c r="N13" s="21">
        <f>+M13*3</f>
        <v>0</v>
      </c>
      <c r="O13" s="194">
        <v>27</v>
      </c>
      <c r="P13" s="31">
        <f t="shared" si="1"/>
        <v>150</v>
      </c>
      <c r="Q13" s="195"/>
      <c r="R13" s="31">
        <f t="shared" si="0"/>
        <v>150</v>
      </c>
      <c r="S13" s="7"/>
      <c r="T13" s="144">
        <v>150</v>
      </c>
      <c r="U13" s="163">
        <f>+T13-T12</f>
        <v>138.40760454190581</v>
      </c>
      <c r="V13" s="164" t="s">
        <v>144</v>
      </c>
      <c r="W13" s="9">
        <f>150-U13</f>
        <v>11.592395458094188</v>
      </c>
    </row>
    <row r="14" spans="8:23">
      <c r="I14" s="193" t="s">
        <v>24</v>
      </c>
      <c r="J14" s="30" t="s">
        <v>30</v>
      </c>
      <c r="K14" s="18"/>
      <c r="L14" s="185">
        <v>0</v>
      </c>
      <c r="M14" s="20"/>
      <c r="N14" s="21">
        <v>0</v>
      </c>
      <c r="O14" s="194">
        <v>21</v>
      </c>
      <c r="P14" s="31">
        <f t="shared" si="1"/>
        <v>126</v>
      </c>
      <c r="Q14" s="195"/>
      <c r="R14" s="31">
        <f t="shared" si="0"/>
        <v>126</v>
      </c>
      <c r="S14" s="7"/>
      <c r="T14" s="26"/>
      <c r="W14" s="162"/>
    </row>
    <row r="15" spans="8:23">
      <c r="I15" s="193" t="s">
        <v>18</v>
      </c>
      <c r="J15" s="28" t="s">
        <v>72</v>
      </c>
      <c r="K15" s="18"/>
      <c r="L15" s="185">
        <f>+K15*3</f>
        <v>0</v>
      </c>
      <c r="M15" s="20">
        <v>12</v>
      </c>
      <c r="N15" s="21">
        <f>+M15*3</f>
        <v>36</v>
      </c>
      <c r="O15" s="194"/>
      <c r="P15" s="31">
        <f t="shared" si="1"/>
        <v>0</v>
      </c>
      <c r="Q15" s="196"/>
      <c r="R15" s="31">
        <f t="shared" si="0"/>
        <v>36</v>
      </c>
      <c r="S15" s="7"/>
      <c r="T15" s="137">
        <v>964.8</v>
      </c>
      <c r="U15" s="182">
        <v>125.42</v>
      </c>
      <c r="V15" s="139">
        <v>839.38</v>
      </c>
      <c r="W15" s="160" t="s">
        <v>53</v>
      </c>
    </row>
    <row r="16" spans="8:23">
      <c r="H16" s="173" t="s">
        <v>84</v>
      </c>
      <c r="I16" s="83" t="s">
        <v>6</v>
      </c>
      <c r="J16" s="84" t="s">
        <v>99</v>
      </c>
      <c r="K16" s="85"/>
      <c r="L16" s="186">
        <f>+K16*3</f>
        <v>0</v>
      </c>
      <c r="M16" s="191"/>
      <c r="N16" s="89">
        <f t="shared" ref="N16:N30" si="2">+M16*3</f>
        <v>0</v>
      </c>
      <c r="O16" s="88"/>
      <c r="P16" s="89">
        <f t="shared" si="1"/>
        <v>0</v>
      </c>
      <c r="Q16" s="197"/>
      <c r="R16" s="89">
        <f t="shared" si="0"/>
        <v>0</v>
      </c>
      <c r="S16" s="7"/>
      <c r="T16" s="140">
        <f>+U16+V16</f>
        <v>827.58226309895394</v>
      </c>
      <c r="U16" s="183">
        <f>+U15*V16/V15</f>
        <v>107.58226309895399</v>
      </c>
      <c r="V16" s="141">
        <v>720</v>
      </c>
      <c r="W16" s="162"/>
    </row>
    <row r="17" spans="4:23">
      <c r="I17" s="193" t="s">
        <v>31</v>
      </c>
      <c r="J17" s="30" t="s">
        <v>32</v>
      </c>
      <c r="K17" s="35"/>
      <c r="L17" s="185"/>
      <c r="M17" s="194"/>
      <c r="N17" s="21">
        <f t="shared" si="2"/>
        <v>0</v>
      </c>
      <c r="O17" s="194">
        <v>4</v>
      </c>
      <c r="P17" s="31">
        <f t="shared" si="1"/>
        <v>24</v>
      </c>
      <c r="Q17" s="195"/>
      <c r="R17" s="31">
        <f t="shared" si="0"/>
        <v>24</v>
      </c>
      <c r="S17" s="7"/>
      <c r="T17" s="142">
        <f>+T15-T16</f>
        <v>137.21773690104601</v>
      </c>
      <c r="U17" s="183"/>
      <c r="V17" s="143"/>
      <c r="W17" s="4" t="s">
        <v>145</v>
      </c>
    </row>
    <row r="18" spans="4:23">
      <c r="I18" s="193" t="s">
        <v>54</v>
      </c>
      <c r="J18" s="30" t="s">
        <v>55</v>
      </c>
      <c r="K18" s="18"/>
      <c r="L18" s="185">
        <f>+K18*3</f>
        <v>0</v>
      </c>
      <c r="M18" s="20">
        <v>5</v>
      </c>
      <c r="N18" s="21">
        <v>80</v>
      </c>
      <c r="O18" s="194"/>
      <c r="P18" s="31">
        <f t="shared" si="1"/>
        <v>0</v>
      </c>
      <c r="Q18" s="195"/>
      <c r="R18" s="31">
        <f t="shared" si="0"/>
        <v>80</v>
      </c>
      <c r="S18" s="7" t="s">
        <v>171</v>
      </c>
      <c r="T18" s="144">
        <v>150</v>
      </c>
      <c r="U18" s="163">
        <f>+T18-T17+0.01</f>
        <v>12.79226309895399</v>
      </c>
      <c r="V18" s="164" t="s">
        <v>144</v>
      </c>
      <c r="W18" s="9">
        <f>150-U18</f>
        <v>137.20773690104602</v>
      </c>
    </row>
    <row r="19" spans="4:23">
      <c r="I19" s="113" t="s">
        <v>10</v>
      </c>
      <c r="J19" s="114" t="s">
        <v>34</v>
      </c>
      <c r="K19" s="115"/>
      <c r="L19" s="187"/>
      <c r="M19" s="117"/>
      <c r="N19" s="116">
        <f t="shared" si="2"/>
        <v>0</v>
      </c>
      <c r="O19" s="117">
        <v>22</v>
      </c>
      <c r="P19" s="31">
        <f t="shared" si="1"/>
        <v>132</v>
      </c>
      <c r="Q19" s="195"/>
      <c r="R19" s="31">
        <f t="shared" si="0"/>
        <v>132</v>
      </c>
      <c r="S19" s="7"/>
      <c r="T19" s="26"/>
      <c r="W19" s="162"/>
    </row>
    <row r="20" spans="4:23">
      <c r="I20" s="113" t="s">
        <v>9</v>
      </c>
      <c r="J20" s="114" t="s">
        <v>35</v>
      </c>
      <c r="K20" s="115"/>
      <c r="L20" s="187"/>
      <c r="M20" s="117"/>
      <c r="N20" s="116">
        <f t="shared" si="2"/>
        <v>0</v>
      </c>
      <c r="O20" s="117">
        <v>31</v>
      </c>
      <c r="P20" s="31">
        <f t="shared" si="1"/>
        <v>150</v>
      </c>
      <c r="Q20" s="195"/>
      <c r="R20" s="31">
        <f t="shared" si="0"/>
        <v>150</v>
      </c>
      <c r="S20" s="7"/>
      <c r="T20" s="137">
        <v>1000.8</v>
      </c>
      <c r="U20" s="182">
        <v>130.1</v>
      </c>
      <c r="V20" s="139">
        <v>870.7</v>
      </c>
      <c r="W20" s="160" t="s">
        <v>74</v>
      </c>
    </row>
    <row r="21" spans="4:23">
      <c r="I21" s="193" t="s">
        <v>36</v>
      </c>
      <c r="J21" s="30" t="s">
        <v>37</v>
      </c>
      <c r="K21" s="35"/>
      <c r="L21" s="185"/>
      <c r="M21" s="194"/>
      <c r="N21" s="21">
        <f t="shared" si="2"/>
        <v>0</v>
      </c>
      <c r="O21" s="194">
        <v>24</v>
      </c>
      <c r="P21" s="31">
        <f t="shared" si="1"/>
        <v>144</v>
      </c>
      <c r="Q21" s="195"/>
      <c r="R21" s="31">
        <f t="shared" si="0"/>
        <v>144</v>
      </c>
      <c r="S21" s="7"/>
      <c r="T21" s="140">
        <f>+U21+V21</f>
        <v>827.58240496152519</v>
      </c>
      <c r="U21" s="183">
        <f>+U20*V21/V20</f>
        <v>107.5824049615252</v>
      </c>
      <c r="V21" s="141">
        <v>720</v>
      </c>
      <c r="W21" s="161">
        <v>740.02</v>
      </c>
    </row>
    <row r="22" spans="4:23">
      <c r="I22" s="193" t="s">
        <v>64</v>
      </c>
      <c r="J22" s="30" t="s">
        <v>65</v>
      </c>
      <c r="K22" s="35"/>
      <c r="L22" s="185"/>
      <c r="M22" s="194"/>
      <c r="N22" s="21">
        <v>0</v>
      </c>
      <c r="O22" s="194">
        <v>30</v>
      </c>
      <c r="P22" s="31">
        <f t="shared" si="1"/>
        <v>150</v>
      </c>
      <c r="Q22" s="195"/>
      <c r="R22" s="31">
        <f t="shared" si="0"/>
        <v>150</v>
      </c>
      <c r="S22" s="7"/>
      <c r="T22" s="142">
        <f>+T20-T21</f>
        <v>173.21759503847477</v>
      </c>
      <c r="U22" s="183"/>
      <c r="V22" s="143"/>
      <c r="W22" s="162"/>
    </row>
    <row r="23" spans="4:23">
      <c r="I23" s="193" t="s">
        <v>13</v>
      </c>
      <c r="J23" s="30" t="s">
        <v>38</v>
      </c>
      <c r="K23" s="35"/>
      <c r="L23" s="185"/>
      <c r="M23" s="194">
        <v>11</v>
      </c>
      <c r="N23" s="21">
        <f t="shared" si="2"/>
        <v>33</v>
      </c>
      <c r="O23" s="194">
        <v>3</v>
      </c>
      <c r="P23" s="31">
        <f t="shared" si="1"/>
        <v>18</v>
      </c>
      <c r="Q23" s="195"/>
      <c r="R23" s="31">
        <f t="shared" si="0"/>
        <v>51</v>
      </c>
      <c r="S23" s="7"/>
      <c r="T23" s="144">
        <v>150</v>
      </c>
      <c r="U23" s="163">
        <f>+T23-T22</f>
        <v>-23.217595038474769</v>
      </c>
      <c r="V23" s="164" t="s">
        <v>144</v>
      </c>
      <c r="W23" s="165">
        <v>0.01</v>
      </c>
    </row>
    <row r="24" spans="4:23">
      <c r="I24" s="193" t="s">
        <v>39</v>
      </c>
      <c r="J24" s="30" t="s">
        <v>40</v>
      </c>
      <c r="K24" s="35"/>
      <c r="L24" s="185"/>
      <c r="M24" s="194"/>
      <c r="N24" s="21">
        <f t="shared" si="2"/>
        <v>0</v>
      </c>
      <c r="O24" s="194"/>
      <c r="P24" s="31">
        <f t="shared" si="1"/>
        <v>0</v>
      </c>
      <c r="Q24" s="195"/>
      <c r="R24" s="31">
        <f t="shared" si="0"/>
        <v>0</v>
      </c>
      <c r="S24" s="7"/>
      <c r="T24" s="26"/>
      <c r="W24" s="162"/>
    </row>
    <row r="25" spans="4:23">
      <c r="H25" s="173" t="s">
        <v>84</v>
      </c>
      <c r="I25" s="83" t="s">
        <v>19</v>
      </c>
      <c r="J25" s="84" t="s">
        <v>20</v>
      </c>
      <c r="K25" s="85"/>
      <c r="L25" s="186">
        <f>+K25*3</f>
        <v>0</v>
      </c>
      <c r="M25" s="191"/>
      <c r="N25" s="89">
        <f t="shared" si="2"/>
        <v>0</v>
      </c>
      <c r="O25" s="88"/>
      <c r="P25" s="89">
        <f t="shared" si="1"/>
        <v>0</v>
      </c>
      <c r="Q25" s="197"/>
      <c r="R25" s="89">
        <f t="shared" si="0"/>
        <v>0</v>
      </c>
      <c r="S25" s="7"/>
      <c r="T25" s="137">
        <v>946.8</v>
      </c>
      <c r="U25" s="182">
        <v>123.08</v>
      </c>
      <c r="V25" s="139">
        <v>823.72</v>
      </c>
      <c r="W25" s="160" t="s">
        <v>51</v>
      </c>
    </row>
    <row r="26" spans="4:23">
      <c r="I26" s="193" t="s">
        <v>41</v>
      </c>
      <c r="J26" s="30" t="s">
        <v>42</v>
      </c>
      <c r="K26" s="35"/>
      <c r="L26" s="185"/>
      <c r="M26" s="194"/>
      <c r="N26" s="21">
        <f t="shared" si="2"/>
        <v>0</v>
      </c>
      <c r="O26" s="194">
        <v>28</v>
      </c>
      <c r="P26" s="31">
        <f t="shared" si="1"/>
        <v>150</v>
      </c>
      <c r="Q26" s="195"/>
      <c r="R26" s="31">
        <f t="shared" si="0"/>
        <v>150</v>
      </c>
      <c r="S26" s="7"/>
      <c r="T26" s="140">
        <f>+U26+V26</f>
        <v>827.5821881221774</v>
      </c>
      <c r="U26" s="183">
        <f>+U25*V26/V25</f>
        <v>107.58218812217744</v>
      </c>
      <c r="V26" s="141">
        <v>720</v>
      </c>
      <c r="W26" s="162"/>
    </row>
    <row r="27" spans="4:23">
      <c r="I27" s="193" t="s">
        <v>26</v>
      </c>
      <c r="J27" s="30" t="s">
        <v>48</v>
      </c>
      <c r="K27" s="18"/>
      <c r="L27" s="185">
        <v>0</v>
      </c>
      <c r="M27" s="20"/>
      <c r="N27" s="21">
        <f t="shared" si="2"/>
        <v>0</v>
      </c>
      <c r="O27" s="194">
        <v>19</v>
      </c>
      <c r="P27" s="31">
        <f t="shared" si="1"/>
        <v>114</v>
      </c>
      <c r="Q27" s="195"/>
      <c r="R27" s="31">
        <f t="shared" si="0"/>
        <v>114</v>
      </c>
      <c r="S27" s="7"/>
      <c r="T27" s="142">
        <f>+T25-T26</f>
        <v>119.21781187782256</v>
      </c>
      <c r="U27" s="183"/>
      <c r="V27" s="143"/>
      <c r="W27" s="4" t="s">
        <v>145</v>
      </c>
    </row>
    <row r="28" spans="4:23">
      <c r="I28" s="193" t="s">
        <v>67</v>
      </c>
      <c r="J28" s="28" t="s">
        <v>68</v>
      </c>
      <c r="K28" s="18"/>
      <c r="L28" s="185">
        <v>0</v>
      </c>
      <c r="M28" s="20"/>
      <c r="N28" s="21">
        <f t="shared" si="2"/>
        <v>0</v>
      </c>
      <c r="O28" s="22"/>
      <c r="P28" s="31">
        <f t="shared" si="1"/>
        <v>0</v>
      </c>
      <c r="Q28" s="196"/>
      <c r="R28" s="31">
        <f t="shared" si="0"/>
        <v>0</v>
      </c>
      <c r="S28" s="7"/>
      <c r="T28" s="144">
        <v>150</v>
      </c>
      <c r="U28" s="163">
        <f>+T28-T27+0.01</f>
        <v>30.792188122177446</v>
      </c>
      <c r="V28" s="164" t="s">
        <v>144</v>
      </c>
      <c r="W28" s="9">
        <f>150-U28</f>
        <v>119.20781187782255</v>
      </c>
    </row>
    <row r="29" spans="4:23">
      <c r="H29" s="173" t="s">
        <v>84</v>
      </c>
      <c r="I29" s="83" t="s">
        <v>21</v>
      </c>
      <c r="J29" s="84" t="s">
        <v>152</v>
      </c>
      <c r="K29" s="85"/>
      <c r="L29" s="186">
        <v>0</v>
      </c>
      <c r="M29" s="191"/>
      <c r="N29" s="89">
        <v>0</v>
      </c>
      <c r="O29" s="88"/>
      <c r="P29" s="89">
        <f t="shared" si="1"/>
        <v>0</v>
      </c>
      <c r="Q29" s="197"/>
      <c r="R29" s="89">
        <f t="shared" si="0"/>
        <v>0</v>
      </c>
      <c r="S29" s="7"/>
      <c r="T29" s="26"/>
      <c r="W29" s="162"/>
    </row>
    <row r="30" spans="4:23">
      <c r="I30" s="193" t="s">
        <v>43</v>
      </c>
      <c r="J30" s="28" t="s">
        <v>73</v>
      </c>
      <c r="K30" s="18"/>
      <c r="L30" s="185">
        <v>0</v>
      </c>
      <c r="M30" s="20"/>
      <c r="N30" s="21">
        <f t="shared" si="2"/>
        <v>0</v>
      </c>
      <c r="O30" s="194">
        <v>33</v>
      </c>
      <c r="P30" s="31">
        <f t="shared" si="1"/>
        <v>150</v>
      </c>
      <c r="Q30" s="196"/>
      <c r="R30" s="31">
        <f t="shared" si="0"/>
        <v>150</v>
      </c>
      <c r="S30" s="7"/>
      <c r="T30" s="137">
        <v>946.8</v>
      </c>
      <c r="U30" s="182">
        <v>117.69</v>
      </c>
      <c r="V30" s="139">
        <v>829.11</v>
      </c>
      <c r="W30" s="160" t="s">
        <v>49</v>
      </c>
    </row>
    <row r="31" spans="4:23">
      <c r="H31" s="174" t="s">
        <v>166</v>
      </c>
      <c r="I31" s="83" t="s">
        <v>44</v>
      </c>
      <c r="J31" s="84" t="s">
        <v>45</v>
      </c>
      <c r="K31" s="85"/>
      <c r="L31" s="186">
        <f>+K31*3</f>
        <v>0</v>
      </c>
      <c r="M31" s="191">
        <v>1</v>
      </c>
      <c r="N31" s="89">
        <v>0</v>
      </c>
      <c r="O31" s="88"/>
      <c r="P31" s="89">
        <f>IF(O31&gt;25,150,(O31)*6)</f>
        <v>0</v>
      </c>
      <c r="Q31" s="197"/>
      <c r="R31" s="89">
        <f t="shared" si="0"/>
        <v>0</v>
      </c>
      <c r="S31" s="7"/>
      <c r="T31" s="140">
        <f>+U31+V31</f>
        <v>822.20212034591304</v>
      </c>
      <c r="U31" s="183">
        <f>+U30*V31/V30</f>
        <v>102.20212034591309</v>
      </c>
      <c r="V31" s="141">
        <v>720</v>
      </c>
      <c r="W31" s="162"/>
    </row>
    <row r="32" spans="4:23" s="4" customFormat="1">
      <c r="D32" s="3"/>
      <c r="F32" s="166"/>
      <c r="I32" s="113" t="s">
        <v>14</v>
      </c>
      <c r="J32" s="114" t="s">
        <v>66</v>
      </c>
      <c r="K32" s="120"/>
      <c r="L32" s="187">
        <f>+K32*3</f>
        <v>0</v>
      </c>
      <c r="M32" s="121">
        <v>5</v>
      </c>
      <c r="N32" s="21">
        <v>80</v>
      </c>
      <c r="O32" s="117"/>
      <c r="P32" s="31">
        <f>IF(O32&gt;25,150,(O32)*6)</f>
        <v>0</v>
      </c>
      <c r="Q32" s="195">
        <v>10</v>
      </c>
      <c r="R32" s="31">
        <f t="shared" si="0"/>
        <v>90</v>
      </c>
      <c r="S32" s="7" t="s">
        <v>171</v>
      </c>
      <c r="T32" s="142">
        <f>+T30-T31</f>
        <v>124.59787965408691</v>
      </c>
      <c r="U32" s="183"/>
      <c r="V32" s="143"/>
      <c r="W32" s="4" t="s">
        <v>145</v>
      </c>
    </row>
    <row r="33" spans="8:23">
      <c r="I33" s="193" t="s">
        <v>15</v>
      </c>
      <c r="J33" s="28" t="s">
        <v>16</v>
      </c>
      <c r="K33" s="18"/>
      <c r="L33" s="185">
        <f>+K33*3</f>
        <v>0</v>
      </c>
      <c r="M33" s="20">
        <v>16</v>
      </c>
      <c r="N33" s="21">
        <f>5*M33</f>
        <v>80</v>
      </c>
      <c r="O33" s="194"/>
      <c r="P33" s="23">
        <f t="shared" ref="P33:P42" si="3">IF(O33&gt;25,150,(O33)*6)</f>
        <v>0</v>
      </c>
      <c r="Q33" s="196"/>
      <c r="R33" s="23">
        <f t="shared" si="0"/>
        <v>80</v>
      </c>
      <c r="S33" s="7"/>
      <c r="T33" s="144">
        <v>150</v>
      </c>
      <c r="U33" s="163">
        <f>+T33-T32</f>
        <v>25.40212034591309</v>
      </c>
      <c r="V33" s="164" t="s">
        <v>144</v>
      </c>
      <c r="W33" s="9">
        <f>150-U33</f>
        <v>124.59787965408691</v>
      </c>
    </row>
    <row r="34" spans="8:23">
      <c r="I34" s="193" t="s">
        <v>17</v>
      </c>
      <c r="J34" s="30" t="s">
        <v>119</v>
      </c>
      <c r="K34" s="35"/>
      <c r="L34" s="185"/>
      <c r="M34" s="194"/>
      <c r="N34" s="21">
        <v>0</v>
      </c>
      <c r="O34" s="194">
        <v>24</v>
      </c>
      <c r="P34" s="31">
        <f t="shared" si="3"/>
        <v>144</v>
      </c>
      <c r="Q34" s="195"/>
      <c r="R34" s="31">
        <f t="shared" si="0"/>
        <v>144</v>
      </c>
      <c r="S34" s="7"/>
      <c r="W34" s="162"/>
    </row>
    <row r="35" spans="8:23">
      <c r="I35" s="113" t="s">
        <v>75</v>
      </c>
      <c r="J35" s="114" t="s">
        <v>76</v>
      </c>
      <c r="K35" s="115"/>
      <c r="L35" s="187"/>
      <c r="M35" s="117"/>
      <c r="N35" s="116">
        <f>+M35*3</f>
        <v>0</v>
      </c>
      <c r="O35" s="117"/>
      <c r="P35" s="31">
        <f t="shared" si="3"/>
        <v>0</v>
      </c>
      <c r="Q35" s="195"/>
      <c r="R35" s="31">
        <f t="shared" si="0"/>
        <v>0</v>
      </c>
      <c r="S35" s="7"/>
      <c r="T35" s="137">
        <v>1054.8</v>
      </c>
      <c r="U35" s="182">
        <v>136.18</v>
      </c>
      <c r="V35" s="139">
        <v>918.62</v>
      </c>
      <c r="W35" s="160" t="s">
        <v>50</v>
      </c>
    </row>
    <row r="36" spans="8:23">
      <c r="I36" s="113" t="s">
        <v>146</v>
      </c>
      <c r="J36" s="114" t="s">
        <v>55</v>
      </c>
      <c r="K36" s="115"/>
      <c r="L36" s="187"/>
      <c r="M36" s="117"/>
      <c r="N36" s="116">
        <v>0</v>
      </c>
      <c r="O36" s="117"/>
      <c r="P36" s="31">
        <f t="shared" si="3"/>
        <v>0</v>
      </c>
      <c r="Q36" s="195"/>
      <c r="R36" s="31">
        <f t="shared" si="0"/>
        <v>0</v>
      </c>
      <c r="S36" s="7"/>
      <c r="T36" s="140">
        <f>+U36+V36</f>
        <v>826.73575580762451</v>
      </c>
      <c r="U36" s="183">
        <f>+U35*V36/V35</f>
        <v>106.73575580762449</v>
      </c>
      <c r="V36" s="141">
        <v>720</v>
      </c>
      <c r="W36" s="161">
        <v>788</v>
      </c>
    </row>
    <row r="37" spans="8:23">
      <c r="I37" s="113" t="s">
        <v>69</v>
      </c>
      <c r="J37" s="114" t="s">
        <v>70</v>
      </c>
      <c r="K37" s="115"/>
      <c r="L37" s="187">
        <v>0</v>
      </c>
      <c r="M37" s="117"/>
      <c r="N37" s="116">
        <f>+M37*3</f>
        <v>0</v>
      </c>
      <c r="O37" s="117"/>
      <c r="P37" s="31">
        <f t="shared" si="3"/>
        <v>0</v>
      </c>
      <c r="Q37" s="195"/>
      <c r="R37" s="31">
        <f t="shared" si="0"/>
        <v>0</v>
      </c>
      <c r="S37" s="7"/>
      <c r="T37" s="142">
        <f>+T35-T36</f>
        <v>228.06424419237544</v>
      </c>
      <c r="U37" s="183"/>
      <c r="V37" s="143"/>
      <c r="W37" s="162"/>
    </row>
    <row r="38" spans="8:23">
      <c r="I38" s="193" t="s">
        <v>91</v>
      </c>
      <c r="J38" s="30" t="s">
        <v>92</v>
      </c>
      <c r="K38" s="35"/>
      <c r="L38" s="185">
        <v>0</v>
      </c>
      <c r="M38" s="194"/>
      <c r="N38" s="21">
        <f>+M38*3</f>
        <v>0</v>
      </c>
      <c r="O38" s="194">
        <v>26</v>
      </c>
      <c r="P38" s="31">
        <f t="shared" si="3"/>
        <v>150</v>
      </c>
      <c r="Q38" s="195"/>
      <c r="R38" s="31">
        <f t="shared" si="0"/>
        <v>150</v>
      </c>
      <c r="S38" s="7"/>
      <c r="T38" s="144">
        <v>150</v>
      </c>
      <c r="U38" s="163">
        <f>+T38-T37</f>
        <v>-78.06424419237544</v>
      </c>
      <c r="V38" s="164" t="s">
        <v>144</v>
      </c>
      <c r="W38" s="165">
        <v>0.01</v>
      </c>
    </row>
    <row r="39" spans="8:23">
      <c r="I39" s="193" t="s">
        <v>93</v>
      </c>
      <c r="J39" s="28" t="s">
        <v>94</v>
      </c>
      <c r="K39" s="18"/>
      <c r="L39" s="185">
        <v>0</v>
      </c>
      <c r="M39" s="20">
        <v>10</v>
      </c>
      <c r="N39" s="21">
        <v>0</v>
      </c>
      <c r="O39" s="194"/>
      <c r="P39" s="31">
        <f t="shared" si="3"/>
        <v>0</v>
      </c>
      <c r="Q39" s="196"/>
      <c r="R39" s="31">
        <f t="shared" si="0"/>
        <v>0</v>
      </c>
      <c r="S39" s="7"/>
      <c r="W39" s="162"/>
    </row>
    <row r="40" spans="8:23">
      <c r="I40" s="193" t="s">
        <v>120</v>
      </c>
      <c r="J40" s="28" t="s">
        <v>121</v>
      </c>
      <c r="K40" s="18"/>
      <c r="L40" s="185">
        <v>0</v>
      </c>
      <c r="M40" s="20"/>
      <c r="N40" s="21">
        <v>0</v>
      </c>
      <c r="O40" s="194">
        <v>5</v>
      </c>
      <c r="P40" s="31">
        <f t="shared" si="3"/>
        <v>30</v>
      </c>
      <c r="Q40" s="196"/>
      <c r="R40" s="31">
        <f t="shared" si="0"/>
        <v>30</v>
      </c>
      <c r="S40" s="7"/>
      <c r="T40" s="137">
        <v>964.8</v>
      </c>
      <c r="U40" s="182">
        <v>113.27</v>
      </c>
      <c r="V40" s="139">
        <v>851.53</v>
      </c>
      <c r="W40" s="160" t="s">
        <v>57</v>
      </c>
    </row>
    <row r="41" spans="8:23">
      <c r="I41" s="193" t="s">
        <v>125</v>
      </c>
      <c r="J41" s="28" t="s">
        <v>126</v>
      </c>
      <c r="K41" s="18"/>
      <c r="L41" s="185">
        <v>0</v>
      </c>
      <c r="M41" s="20"/>
      <c r="N41" s="21">
        <v>0</v>
      </c>
      <c r="O41" s="194">
        <v>19</v>
      </c>
      <c r="P41" s="31">
        <f t="shared" si="3"/>
        <v>114</v>
      </c>
      <c r="Q41" s="196"/>
      <c r="R41" s="31">
        <f t="shared" si="0"/>
        <v>114</v>
      </c>
      <c r="S41" s="7"/>
      <c r="T41" s="140" t="e">
        <f>+U41+V41</f>
        <v>#DIV/0!</v>
      </c>
      <c r="U41" s="183" t="e">
        <f>+U39*V41/V39</f>
        <v>#DIV/0!</v>
      </c>
      <c r="V41" s="141">
        <v>720</v>
      </c>
    </row>
    <row r="42" spans="8:23">
      <c r="H42" s="173" t="s">
        <v>84</v>
      </c>
      <c r="I42" s="198" t="s">
        <v>158</v>
      </c>
      <c r="J42" s="199" t="s">
        <v>159</v>
      </c>
      <c r="K42" s="200"/>
      <c r="L42" s="201">
        <v>0</v>
      </c>
      <c r="M42" s="202">
        <v>11</v>
      </c>
      <c r="N42" s="203">
        <f>+M42*3</f>
        <v>33</v>
      </c>
      <c r="O42" s="204"/>
      <c r="P42" s="203">
        <f t="shared" si="3"/>
        <v>0</v>
      </c>
      <c r="Q42" s="205"/>
      <c r="R42" s="203">
        <f t="shared" si="0"/>
        <v>33</v>
      </c>
      <c r="S42" s="7"/>
      <c r="T42" s="140">
        <f>+U42+V42</f>
        <v>815.77395981351219</v>
      </c>
      <c r="U42" s="183">
        <f>+U40*V42/V40</f>
        <v>95.77395981351215</v>
      </c>
      <c r="V42" s="141">
        <v>720</v>
      </c>
    </row>
    <row r="43" spans="8:23">
      <c r="I43" s="41"/>
      <c r="J43" s="42"/>
      <c r="K43" s="65">
        <f t="shared" ref="K43:Q43" si="4">SUM(K5:K42)</f>
        <v>0</v>
      </c>
      <c r="L43" s="66">
        <f t="shared" si="4"/>
        <v>0</v>
      </c>
      <c r="M43" s="56">
        <f t="shared" si="4"/>
        <v>124</v>
      </c>
      <c r="N43" s="58">
        <f t="shared" si="4"/>
        <v>518</v>
      </c>
      <c r="O43" s="56">
        <f t="shared" si="4"/>
        <v>369</v>
      </c>
      <c r="P43" s="58">
        <f t="shared" si="4"/>
        <v>2046</v>
      </c>
      <c r="Q43" s="58">
        <f t="shared" si="4"/>
        <v>20</v>
      </c>
      <c r="R43" s="57">
        <f t="shared" si="0"/>
        <v>2584</v>
      </c>
      <c r="S43" s="7"/>
      <c r="T43" s="142">
        <f>+T40-T42</f>
        <v>149.02604018648776</v>
      </c>
      <c r="U43" s="183"/>
      <c r="V43" s="143"/>
      <c r="W43" s="4" t="s">
        <v>145</v>
      </c>
    </row>
    <row r="44" spans="8:23">
      <c r="L44" s="167" t="s">
        <v>105</v>
      </c>
      <c r="M44" s="168">
        <v>245</v>
      </c>
      <c r="N44" s="167" t="s">
        <v>105</v>
      </c>
      <c r="O44" s="168">
        <f>+O45-O43</f>
        <v>-4</v>
      </c>
      <c r="P44" s="168">
        <f>+P45-P43</f>
        <v>324</v>
      </c>
      <c r="Q44" s="168"/>
      <c r="R44" s="175">
        <f>+R7+R16+R25+R29+R42</f>
        <v>69</v>
      </c>
      <c r="S44" s="7"/>
      <c r="T44" s="144">
        <v>150</v>
      </c>
      <c r="U44" s="163">
        <f>+T44-T43</f>
        <v>0.97395981351223782</v>
      </c>
      <c r="V44" s="164" t="s">
        <v>144</v>
      </c>
      <c r="W44" s="9">
        <f>150-U44</f>
        <v>149.02604018648776</v>
      </c>
    </row>
    <row r="45" spans="8:23">
      <c r="L45" s="169"/>
      <c r="M45" s="170">
        <f>+M43-M44</f>
        <v>-121</v>
      </c>
      <c r="N45" s="171" t="s">
        <v>147</v>
      </c>
      <c r="O45" s="169">
        <v>365</v>
      </c>
      <c r="P45" s="169">
        <v>2370</v>
      </c>
      <c r="Q45" s="176" t="s">
        <v>133</v>
      </c>
      <c r="R45" s="177">
        <f>+R43-R44</f>
        <v>2515</v>
      </c>
      <c r="S45" s="7"/>
    </row>
    <row r="47" spans="8:23">
      <c r="Q47">
        <f>186/31</f>
        <v>6</v>
      </c>
    </row>
    <row r="48" spans="8:23">
      <c r="P48" s="67"/>
    </row>
    <row r="49" spans="16:16">
      <c r="P49" s="67"/>
    </row>
  </sheetData>
  <mergeCells count="4">
    <mergeCell ref="I2:R2"/>
    <mergeCell ref="K3:N3"/>
    <mergeCell ref="O3:P3"/>
    <mergeCell ref="S3:T3"/>
  </mergeCells>
  <conditionalFormatting sqref="R43 R5:R6">
    <cfRule type="cellIs" dxfId="8" priority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1:W49"/>
  <sheetViews>
    <sheetView zoomScale="85" zoomScaleNormal="85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P56" sqref="P56"/>
    </sheetView>
  </sheetViews>
  <sheetFormatPr baseColWidth="10" defaultRowHeight="15"/>
  <cols>
    <col min="1" max="1" width="5.7109375" customWidth="1"/>
    <col min="2" max="2" width="0" hidden="1" customWidth="1"/>
    <col min="3" max="3" width="20.7109375" hidden="1" customWidth="1"/>
    <col min="4" max="4" width="20.7109375" style="1" hidden="1" customWidth="1"/>
    <col min="5" max="5" width="13.28515625" hidden="1" customWidth="1"/>
    <col min="6" max="6" width="10.42578125" style="2" hidden="1" customWidth="1"/>
    <col min="7" max="7" width="25.28515625" hidden="1" customWidth="1"/>
    <col min="8" max="8" width="12.5703125" bestFit="1" customWidth="1"/>
    <col min="9" max="9" width="8.7109375" customWidth="1"/>
    <col min="10" max="10" width="24.140625" customWidth="1"/>
    <col min="11" max="11" width="8.7109375" customWidth="1"/>
    <col min="12" max="12" width="10.7109375" bestFit="1" customWidth="1"/>
    <col min="13" max="13" width="8.7109375" customWidth="1"/>
    <col min="14" max="14" width="10.28515625" bestFit="1" customWidth="1"/>
    <col min="15" max="15" width="8.7109375" customWidth="1"/>
    <col min="16" max="16" width="11.42578125" customWidth="1"/>
    <col min="17" max="17" width="11.7109375" customWidth="1"/>
    <col min="18" max="18" width="12.5703125" bestFit="1" customWidth="1"/>
    <col min="19" max="19" width="6.7109375" customWidth="1"/>
    <col min="20" max="20" width="12.140625" customWidth="1"/>
    <col min="21" max="21" width="10.5703125" style="181" customWidth="1"/>
    <col min="22" max="22" width="9.42578125" customWidth="1"/>
    <col min="23" max="23" width="20.7109375" customWidth="1"/>
    <col min="24" max="24" width="14.7109375" customWidth="1"/>
    <col min="25" max="25" width="16.28515625" bestFit="1" customWidth="1"/>
    <col min="27" max="27" width="18.7109375" bestFit="1" customWidth="1"/>
  </cols>
  <sheetData>
    <row r="1" spans="8:23" ht="5.0999999999999996" customHeight="1"/>
    <row r="2" spans="8:23">
      <c r="I2" s="418" t="s">
        <v>161</v>
      </c>
      <c r="J2" s="418"/>
      <c r="K2" s="418"/>
      <c r="L2" s="418"/>
      <c r="M2" s="418"/>
      <c r="N2" s="418"/>
      <c r="O2" s="418"/>
      <c r="P2" s="418"/>
      <c r="Q2" s="418"/>
      <c r="R2" s="418"/>
      <c r="T2" s="43"/>
    </row>
    <row r="3" spans="8:23">
      <c r="I3" s="11"/>
      <c r="J3" s="11"/>
      <c r="K3" s="419" t="s">
        <v>58</v>
      </c>
      <c r="L3" s="420"/>
      <c r="M3" s="420"/>
      <c r="N3" s="421"/>
      <c r="O3" s="420" t="s">
        <v>59</v>
      </c>
      <c r="P3" s="421"/>
      <c r="Q3" s="11"/>
      <c r="R3" s="11"/>
      <c r="S3" s="424">
        <f ca="1">+TODAY()</f>
        <v>43292</v>
      </c>
      <c r="T3" s="425"/>
    </row>
    <row r="4" spans="8:23" ht="40.5">
      <c r="I4" s="12" t="s">
        <v>11</v>
      </c>
      <c r="J4" s="12" t="s">
        <v>3</v>
      </c>
      <c r="K4" s="64" t="s">
        <v>23</v>
      </c>
      <c r="L4" s="64" t="s">
        <v>77</v>
      </c>
      <c r="M4" s="13" t="s">
        <v>23</v>
      </c>
      <c r="N4" s="13" t="s">
        <v>164</v>
      </c>
      <c r="O4" s="13" t="s">
        <v>23</v>
      </c>
      <c r="P4" s="13" t="s">
        <v>163</v>
      </c>
      <c r="Q4" s="13" t="s">
        <v>162</v>
      </c>
      <c r="R4" s="14" t="s">
        <v>60</v>
      </c>
      <c r="S4" s="7"/>
    </row>
    <row r="5" spans="8:23">
      <c r="I5" s="16" t="s">
        <v>61</v>
      </c>
      <c r="J5" s="17" t="s">
        <v>62</v>
      </c>
      <c r="K5" s="18"/>
      <c r="L5" s="184">
        <f>+K5*3</f>
        <v>0</v>
      </c>
      <c r="M5" s="20">
        <v>4</v>
      </c>
      <c r="N5" s="21">
        <v>0</v>
      </c>
      <c r="O5" s="22"/>
      <c r="P5" s="23"/>
      <c r="Q5" s="24"/>
      <c r="R5" s="134">
        <f>+L5+N5+P5+Q5</f>
        <v>0</v>
      </c>
      <c r="S5" s="7"/>
      <c r="T5" s="137">
        <v>1000.8</v>
      </c>
      <c r="U5" s="182">
        <v>130.1</v>
      </c>
      <c r="V5" s="139">
        <v>870.7</v>
      </c>
      <c r="W5" s="160" t="s">
        <v>143</v>
      </c>
    </row>
    <row r="6" spans="8:23">
      <c r="I6" s="189" t="s">
        <v>4</v>
      </c>
      <c r="J6" s="28" t="s">
        <v>12</v>
      </c>
      <c r="K6" s="18"/>
      <c r="L6" s="185">
        <f>+K6*3</f>
        <v>0</v>
      </c>
      <c r="M6" s="20"/>
      <c r="N6" s="21">
        <v>0</v>
      </c>
      <c r="O6" s="22"/>
      <c r="P6" s="23"/>
      <c r="Q6" s="24"/>
      <c r="R6" s="124">
        <f t="shared" ref="R6:R43" si="0">+L6+N6+P6+Q6</f>
        <v>0</v>
      </c>
      <c r="S6" s="7"/>
      <c r="T6" s="140">
        <f>+U6+V6</f>
        <v>827.58240496152519</v>
      </c>
      <c r="U6" s="183">
        <f>+U5*V6/V5</f>
        <v>107.5824049615252</v>
      </c>
      <c r="V6" s="141">
        <v>720</v>
      </c>
      <c r="W6" s="161">
        <v>740.02</v>
      </c>
    </row>
    <row r="7" spans="8:23">
      <c r="H7" s="174" t="s">
        <v>165</v>
      </c>
      <c r="I7" s="83" t="s">
        <v>1</v>
      </c>
      <c r="J7" s="84" t="s">
        <v>56</v>
      </c>
      <c r="K7" s="85"/>
      <c r="L7" s="186">
        <f>+K7*3</f>
        <v>0</v>
      </c>
      <c r="M7" s="191">
        <v>10</v>
      </c>
      <c r="N7" s="89">
        <v>100</v>
      </c>
      <c r="O7" s="88"/>
      <c r="P7" s="89">
        <f>IF(O7&gt;25,150,(O7)*6)</f>
        <v>0</v>
      </c>
      <c r="Q7" s="90"/>
      <c r="R7" s="206">
        <f t="shared" si="0"/>
        <v>100</v>
      </c>
      <c r="S7" s="7"/>
      <c r="T7" s="142">
        <f>+T5-T6</f>
        <v>173.21759503847477</v>
      </c>
      <c r="U7" s="183"/>
      <c r="V7" s="143"/>
      <c r="W7" s="162"/>
    </row>
    <row r="8" spans="8:23">
      <c r="I8" s="113" t="s">
        <v>2</v>
      </c>
      <c r="J8" s="114" t="s">
        <v>47</v>
      </c>
      <c r="K8" s="115"/>
      <c r="L8" s="187"/>
      <c r="M8" s="117"/>
      <c r="N8" s="21">
        <f>+M8*3</f>
        <v>0</v>
      </c>
      <c r="O8" s="117">
        <v>39</v>
      </c>
      <c r="P8" s="31">
        <f>IF(O8&gt;25,150,(O8)*6)</f>
        <v>150</v>
      </c>
      <c r="Q8" s="195"/>
      <c r="R8" s="31">
        <f t="shared" si="0"/>
        <v>150</v>
      </c>
      <c r="S8" s="7"/>
      <c r="T8" s="144">
        <v>150</v>
      </c>
      <c r="U8" s="163">
        <f>+T8-T7</f>
        <v>-23.217595038474769</v>
      </c>
      <c r="V8" s="164" t="s">
        <v>144</v>
      </c>
      <c r="W8" s="165">
        <v>0.01</v>
      </c>
    </row>
    <row r="9" spans="8:23">
      <c r="I9" s="189" t="s">
        <v>0</v>
      </c>
      <c r="J9" s="28" t="s">
        <v>7</v>
      </c>
      <c r="K9" s="18"/>
      <c r="L9" s="185">
        <f>+K9*5</f>
        <v>0</v>
      </c>
      <c r="M9" s="20">
        <v>16</v>
      </c>
      <c r="N9" s="21">
        <f>5*M9</f>
        <v>80</v>
      </c>
      <c r="O9" s="22"/>
      <c r="P9" s="23">
        <v>0</v>
      </c>
      <c r="Q9" s="196">
        <v>10</v>
      </c>
      <c r="R9" s="23">
        <f t="shared" si="0"/>
        <v>90</v>
      </c>
      <c r="S9" s="7"/>
      <c r="T9" s="26"/>
      <c r="W9" s="162"/>
    </row>
    <row r="10" spans="8:23">
      <c r="I10" s="189" t="s">
        <v>5</v>
      </c>
      <c r="J10" s="30" t="s">
        <v>71</v>
      </c>
      <c r="K10" s="18"/>
      <c r="L10" s="185">
        <f>+K10*3</f>
        <v>0</v>
      </c>
      <c r="M10" s="190"/>
      <c r="N10" s="21">
        <f>+M10*5</f>
        <v>0</v>
      </c>
      <c r="O10" s="190"/>
      <c r="P10" s="31">
        <f t="shared" ref="P10:P30" si="1">IF(O10&gt;25,150,(O10)*6)</f>
        <v>0</v>
      </c>
      <c r="Q10" s="195"/>
      <c r="R10" s="31">
        <f t="shared" si="0"/>
        <v>0</v>
      </c>
      <c r="S10" s="7"/>
      <c r="T10" s="137">
        <v>838.8</v>
      </c>
      <c r="U10" s="182">
        <v>108.71</v>
      </c>
      <c r="V10" s="139">
        <v>730.09</v>
      </c>
      <c r="W10" s="160" t="s">
        <v>52</v>
      </c>
    </row>
    <row r="11" spans="8:23">
      <c r="I11" s="189" t="s">
        <v>27</v>
      </c>
      <c r="J11" s="30" t="s">
        <v>28</v>
      </c>
      <c r="K11" s="18"/>
      <c r="L11" s="185">
        <v>0</v>
      </c>
      <c r="M11" s="190">
        <v>21</v>
      </c>
      <c r="N11" s="21">
        <v>0</v>
      </c>
      <c r="O11" s="190"/>
      <c r="P11" s="31">
        <f t="shared" si="1"/>
        <v>0</v>
      </c>
      <c r="Q11" s="195"/>
      <c r="R11" s="31">
        <f t="shared" si="0"/>
        <v>0</v>
      </c>
      <c r="S11" s="7"/>
      <c r="T11" s="140">
        <f>+U11+V11</f>
        <v>827.20760454190577</v>
      </c>
      <c r="U11" s="183">
        <f>+U10*V11/V10</f>
        <v>107.20760454190578</v>
      </c>
      <c r="V11" s="141">
        <v>720</v>
      </c>
      <c r="W11" s="162"/>
    </row>
    <row r="12" spans="8:23">
      <c r="I12" s="189" t="s">
        <v>8</v>
      </c>
      <c r="J12" s="30" t="s">
        <v>29</v>
      </c>
      <c r="K12" s="35"/>
      <c r="L12" s="185"/>
      <c r="M12" s="190"/>
      <c r="N12" s="21">
        <v>0</v>
      </c>
      <c r="O12" s="190">
        <v>37</v>
      </c>
      <c r="P12" s="31">
        <f t="shared" si="1"/>
        <v>150</v>
      </c>
      <c r="Q12" s="195"/>
      <c r="R12" s="31">
        <f t="shared" si="0"/>
        <v>150</v>
      </c>
      <c r="S12" s="7"/>
      <c r="T12" s="142">
        <f>+T10-T11</f>
        <v>11.592395458094188</v>
      </c>
      <c r="U12" s="183"/>
      <c r="V12" s="143"/>
      <c r="W12" s="4" t="s">
        <v>145</v>
      </c>
    </row>
    <row r="13" spans="8:23">
      <c r="I13" s="189" t="s">
        <v>63</v>
      </c>
      <c r="J13" s="30" t="s">
        <v>33</v>
      </c>
      <c r="K13" s="35"/>
      <c r="L13" s="185"/>
      <c r="M13" s="190"/>
      <c r="N13" s="21">
        <f>+M13*3</f>
        <v>0</v>
      </c>
      <c r="O13" s="190">
        <v>42</v>
      </c>
      <c r="P13" s="31">
        <f t="shared" si="1"/>
        <v>150</v>
      </c>
      <c r="Q13" s="195"/>
      <c r="R13" s="31">
        <f t="shared" si="0"/>
        <v>150</v>
      </c>
      <c r="S13" s="7"/>
      <c r="T13" s="144">
        <v>150</v>
      </c>
      <c r="U13" s="163">
        <f>+T13-T12</f>
        <v>138.40760454190581</v>
      </c>
      <c r="V13" s="164" t="s">
        <v>144</v>
      </c>
      <c r="W13" s="9">
        <f>150-U13</f>
        <v>11.592395458094188</v>
      </c>
    </row>
    <row r="14" spans="8:23">
      <c r="I14" s="189" t="s">
        <v>24</v>
      </c>
      <c r="J14" s="30" t="s">
        <v>30</v>
      </c>
      <c r="K14" s="18"/>
      <c r="L14" s="185">
        <v>0</v>
      </c>
      <c r="M14" s="20"/>
      <c r="N14" s="21">
        <v>0</v>
      </c>
      <c r="O14" s="190">
        <v>14</v>
      </c>
      <c r="P14" s="31">
        <f t="shared" si="1"/>
        <v>84</v>
      </c>
      <c r="Q14" s="195"/>
      <c r="R14" s="31">
        <f t="shared" si="0"/>
        <v>84</v>
      </c>
      <c r="S14" s="7"/>
      <c r="T14" s="26"/>
      <c r="W14" s="162"/>
    </row>
    <row r="15" spans="8:23">
      <c r="I15" s="189" t="s">
        <v>18</v>
      </c>
      <c r="J15" s="28" t="s">
        <v>72</v>
      </c>
      <c r="K15" s="18"/>
      <c r="L15" s="185">
        <f>+K15*3</f>
        <v>0</v>
      </c>
      <c r="M15" s="20">
        <v>23</v>
      </c>
      <c r="N15" s="21">
        <v>0</v>
      </c>
      <c r="O15" s="190"/>
      <c r="P15" s="31">
        <f t="shared" si="1"/>
        <v>0</v>
      </c>
      <c r="Q15" s="196"/>
      <c r="R15" s="31">
        <f t="shared" si="0"/>
        <v>0</v>
      </c>
      <c r="S15" s="7"/>
      <c r="T15" s="137">
        <v>964.8</v>
      </c>
      <c r="U15" s="182">
        <v>125.42</v>
      </c>
      <c r="V15" s="139">
        <v>839.38</v>
      </c>
      <c r="W15" s="160" t="s">
        <v>53</v>
      </c>
    </row>
    <row r="16" spans="8:23">
      <c r="H16" s="173" t="s">
        <v>84</v>
      </c>
      <c r="I16" s="83" t="s">
        <v>6</v>
      </c>
      <c r="J16" s="84" t="s">
        <v>99</v>
      </c>
      <c r="K16" s="85"/>
      <c r="L16" s="186">
        <f>+K16*3</f>
        <v>0</v>
      </c>
      <c r="M16" s="191"/>
      <c r="N16" s="89">
        <f t="shared" ref="N16:N30" si="2">+M16*3</f>
        <v>0</v>
      </c>
      <c r="O16" s="88"/>
      <c r="P16" s="89">
        <f t="shared" si="1"/>
        <v>0</v>
      </c>
      <c r="Q16" s="197"/>
      <c r="R16" s="89">
        <f t="shared" si="0"/>
        <v>0</v>
      </c>
      <c r="S16" s="7"/>
      <c r="T16" s="140">
        <f>+U16+V16</f>
        <v>827.58226309895394</v>
      </c>
      <c r="U16" s="183">
        <f>+U15*V16/V15</f>
        <v>107.58226309895399</v>
      </c>
      <c r="V16" s="141">
        <v>720</v>
      </c>
      <c r="W16" s="162"/>
    </row>
    <row r="17" spans="4:23">
      <c r="I17" s="189" t="s">
        <v>31</v>
      </c>
      <c r="J17" s="30" t="s">
        <v>32</v>
      </c>
      <c r="K17" s="35"/>
      <c r="L17" s="185"/>
      <c r="M17" s="190"/>
      <c r="N17" s="21">
        <f t="shared" si="2"/>
        <v>0</v>
      </c>
      <c r="O17" s="190">
        <v>37</v>
      </c>
      <c r="P17" s="31">
        <f t="shared" si="1"/>
        <v>150</v>
      </c>
      <c r="Q17" s="195"/>
      <c r="R17" s="31">
        <f t="shared" si="0"/>
        <v>150</v>
      </c>
      <c r="S17" s="7"/>
      <c r="T17" s="142">
        <f>+T15-T16</f>
        <v>137.21773690104601</v>
      </c>
      <c r="U17" s="183"/>
      <c r="V17" s="143"/>
      <c r="W17" s="4" t="s">
        <v>145</v>
      </c>
    </row>
    <row r="18" spans="4:23">
      <c r="I18" s="189" t="s">
        <v>54</v>
      </c>
      <c r="J18" s="30" t="s">
        <v>55</v>
      </c>
      <c r="K18" s="18"/>
      <c r="L18" s="185">
        <f>+K18*3</f>
        <v>0</v>
      </c>
      <c r="M18" s="20"/>
      <c r="N18" s="21">
        <f t="shared" si="2"/>
        <v>0</v>
      </c>
      <c r="O18" s="190"/>
      <c r="P18" s="31">
        <f t="shared" si="1"/>
        <v>0</v>
      </c>
      <c r="Q18" s="195"/>
      <c r="R18" s="31">
        <f t="shared" si="0"/>
        <v>0</v>
      </c>
      <c r="S18" s="7"/>
      <c r="T18" s="144">
        <v>150</v>
      </c>
      <c r="U18" s="163">
        <f>+T18-T17+0.01</f>
        <v>12.79226309895399</v>
      </c>
      <c r="V18" s="164" t="s">
        <v>144</v>
      </c>
      <c r="W18" s="9">
        <f>150-U18</f>
        <v>137.20773690104602</v>
      </c>
    </row>
    <row r="19" spans="4:23">
      <c r="I19" s="113" t="s">
        <v>10</v>
      </c>
      <c r="J19" s="114" t="s">
        <v>34</v>
      </c>
      <c r="K19" s="115"/>
      <c r="L19" s="187"/>
      <c r="M19" s="117"/>
      <c r="N19" s="116">
        <f t="shared" si="2"/>
        <v>0</v>
      </c>
      <c r="O19" s="117">
        <v>31</v>
      </c>
      <c r="P19" s="31">
        <f t="shared" si="1"/>
        <v>150</v>
      </c>
      <c r="Q19" s="195"/>
      <c r="R19" s="31">
        <f t="shared" si="0"/>
        <v>150</v>
      </c>
      <c r="S19" s="7"/>
      <c r="T19" s="26"/>
      <c r="W19" s="162"/>
    </row>
    <row r="20" spans="4:23">
      <c r="I20" s="113" t="s">
        <v>9</v>
      </c>
      <c r="J20" s="114" t="s">
        <v>35</v>
      </c>
      <c r="K20" s="115"/>
      <c r="L20" s="187"/>
      <c r="M20" s="117"/>
      <c r="N20" s="116">
        <f t="shared" si="2"/>
        <v>0</v>
      </c>
      <c r="O20" s="117">
        <v>34</v>
      </c>
      <c r="P20" s="31">
        <f t="shared" si="1"/>
        <v>150</v>
      </c>
      <c r="Q20" s="195"/>
      <c r="R20" s="31">
        <f t="shared" si="0"/>
        <v>150</v>
      </c>
      <c r="S20" s="7"/>
      <c r="T20" s="137">
        <v>1000.8</v>
      </c>
      <c r="U20" s="182">
        <v>130.1</v>
      </c>
      <c r="V20" s="139">
        <v>870.7</v>
      </c>
      <c r="W20" s="160" t="s">
        <v>74</v>
      </c>
    </row>
    <row r="21" spans="4:23">
      <c r="I21" s="189" t="s">
        <v>36</v>
      </c>
      <c r="J21" s="30" t="s">
        <v>37</v>
      </c>
      <c r="K21" s="35"/>
      <c r="L21" s="185"/>
      <c r="M21" s="190"/>
      <c r="N21" s="21">
        <f t="shared" si="2"/>
        <v>0</v>
      </c>
      <c r="O21" s="190"/>
      <c r="P21" s="31">
        <f t="shared" si="1"/>
        <v>0</v>
      </c>
      <c r="Q21" s="195"/>
      <c r="R21" s="31">
        <f t="shared" si="0"/>
        <v>0</v>
      </c>
      <c r="S21" s="7"/>
      <c r="T21" s="140">
        <f>+U21+V21</f>
        <v>827.58240496152519</v>
      </c>
      <c r="U21" s="183">
        <f>+U20*V21/V20</f>
        <v>107.5824049615252</v>
      </c>
      <c r="V21" s="141">
        <v>720</v>
      </c>
      <c r="W21" s="161">
        <v>740.02</v>
      </c>
    </row>
    <row r="22" spans="4:23">
      <c r="I22" s="189" t="s">
        <v>64</v>
      </c>
      <c r="J22" s="30" t="s">
        <v>65</v>
      </c>
      <c r="K22" s="35"/>
      <c r="L22" s="185"/>
      <c r="M22" s="190"/>
      <c r="N22" s="21">
        <v>0</v>
      </c>
      <c r="O22" s="190">
        <v>36</v>
      </c>
      <c r="P22" s="31">
        <f t="shared" si="1"/>
        <v>150</v>
      </c>
      <c r="Q22" s="195"/>
      <c r="R22" s="31">
        <f t="shared" si="0"/>
        <v>150</v>
      </c>
      <c r="S22" s="7"/>
      <c r="T22" s="142">
        <f>+T20-T21</f>
        <v>173.21759503847477</v>
      </c>
      <c r="U22" s="183"/>
      <c r="V22" s="143"/>
      <c r="W22" s="162"/>
    </row>
    <row r="23" spans="4:23">
      <c r="I23" s="189" t="s">
        <v>13</v>
      </c>
      <c r="J23" s="30" t="s">
        <v>38</v>
      </c>
      <c r="K23" s="35"/>
      <c r="L23" s="185"/>
      <c r="M23" s="190"/>
      <c r="N23" s="21">
        <f t="shared" si="2"/>
        <v>0</v>
      </c>
      <c r="O23" s="190">
        <v>41</v>
      </c>
      <c r="P23" s="31">
        <f t="shared" si="1"/>
        <v>150</v>
      </c>
      <c r="Q23" s="195"/>
      <c r="R23" s="31">
        <f t="shared" si="0"/>
        <v>150</v>
      </c>
      <c r="S23" s="7"/>
      <c r="T23" s="144">
        <v>150</v>
      </c>
      <c r="U23" s="163">
        <f>+T23-T22</f>
        <v>-23.217595038474769</v>
      </c>
      <c r="V23" s="164" t="s">
        <v>144</v>
      </c>
      <c r="W23" s="165">
        <v>0.01</v>
      </c>
    </row>
    <row r="24" spans="4:23">
      <c r="I24" s="189" t="s">
        <v>39</v>
      </c>
      <c r="J24" s="30" t="s">
        <v>40</v>
      </c>
      <c r="K24" s="35"/>
      <c r="L24" s="185"/>
      <c r="M24" s="190"/>
      <c r="N24" s="21">
        <f t="shared" si="2"/>
        <v>0</v>
      </c>
      <c r="O24" s="190"/>
      <c r="P24" s="31">
        <f t="shared" si="1"/>
        <v>0</v>
      </c>
      <c r="Q24" s="195"/>
      <c r="R24" s="31">
        <f t="shared" si="0"/>
        <v>0</v>
      </c>
      <c r="S24" s="7"/>
      <c r="T24" s="26"/>
      <c r="W24" s="162"/>
    </row>
    <row r="25" spans="4:23">
      <c r="H25" s="173" t="s">
        <v>84</v>
      </c>
      <c r="I25" s="83" t="s">
        <v>19</v>
      </c>
      <c r="J25" s="84" t="s">
        <v>20</v>
      </c>
      <c r="K25" s="85"/>
      <c r="L25" s="186">
        <f>+K25*3</f>
        <v>0</v>
      </c>
      <c r="M25" s="191"/>
      <c r="N25" s="89">
        <f t="shared" si="2"/>
        <v>0</v>
      </c>
      <c r="O25" s="88"/>
      <c r="P25" s="89">
        <f t="shared" si="1"/>
        <v>0</v>
      </c>
      <c r="Q25" s="197"/>
      <c r="R25" s="89">
        <f t="shared" si="0"/>
        <v>0</v>
      </c>
      <c r="S25" s="7"/>
      <c r="T25" s="137">
        <v>946.8</v>
      </c>
      <c r="U25" s="182">
        <v>123.08</v>
      </c>
      <c r="V25" s="139">
        <v>823.72</v>
      </c>
      <c r="W25" s="160" t="s">
        <v>51</v>
      </c>
    </row>
    <row r="26" spans="4:23">
      <c r="I26" s="189" t="s">
        <v>41</v>
      </c>
      <c r="J26" s="30" t="s">
        <v>42</v>
      </c>
      <c r="K26" s="35"/>
      <c r="L26" s="185"/>
      <c r="M26" s="190"/>
      <c r="N26" s="21">
        <f t="shared" si="2"/>
        <v>0</v>
      </c>
      <c r="O26" s="190"/>
      <c r="P26" s="31">
        <f t="shared" si="1"/>
        <v>0</v>
      </c>
      <c r="Q26" s="195"/>
      <c r="R26" s="31">
        <f t="shared" si="0"/>
        <v>0</v>
      </c>
      <c r="S26" s="7"/>
      <c r="T26" s="140">
        <f>+U26+V26</f>
        <v>827.5821881221774</v>
      </c>
      <c r="U26" s="183">
        <f>+U25*V26/V25</f>
        <v>107.58218812217744</v>
      </c>
      <c r="V26" s="141">
        <v>720</v>
      </c>
      <c r="W26" s="162"/>
    </row>
    <row r="27" spans="4:23">
      <c r="I27" s="189" t="s">
        <v>26</v>
      </c>
      <c r="J27" s="30" t="s">
        <v>48</v>
      </c>
      <c r="K27" s="18"/>
      <c r="L27" s="185">
        <v>0</v>
      </c>
      <c r="M27" s="20"/>
      <c r="N27" s="21">
        <f t="shared" si="2"/>
        <v>0</v>
      </c>
      <c r="O27" s="190">
        <v>34</v>
      </c>
      <c r="P27" s="31">
        <f t="shared" si="1"/>
        <v>150</v>
      </c>
      <c r="Q27" s="195"/>
      <c r="R27" s="31">
        <f t="shared" si="0"/>
        <v>150</v>
      </c>
      <c r="S27" s="7"/>
      <c r="T27" s="142">
        <f>+T25-T26</f>
        <v>119.21781187782256</v>
      </c>
      <c r="U27" s="183"/>
      <c r="V27" s="143"/>
      <c r="W27" s="4" t="s">
        <v>145</v>
      </c>
    </row>
    <row r="28" spans="4:23">
      <c r="I28" s="189" t="s">
        <v>67</v>
      </c>
      <c r="J28" s="28" t="s">
        <v>68</v>
      </c>
      <c r="K28" s="18"/>
      <c r="L28" s="185">
        <v>0</v>
      </c>
      <c r="M28" s="20"/>
      <c r="N28" s="21">
        <f t="shared" si="2"/>
        <v>0</v>
      </c>
      <c r="O28" s="22"/>
      <c r="P28" s="31">
        <f t="shared" si="1"/>
        <v>0</v>
      </c>
      <c r="Q28" s="196"/>
      <c r="R28" s="31">
        <f t="shared" si="0"/>
        <v>0</v>
      </c>
      <c r="S28" s="7"/>
      <c r="T28" s="144">
        <v>150</v>
      </c>
      <c r="U28" s="163">
        <f>+T28-T27+0.01</f>
        <v>30.792188122177446</v>
      </c>
      <c r="V28" s="164" t="s">
        <v>144</v>
      </c>
      <c r="W28" s="9">
        <f>150-U28</f>
        <v>119.20781187782255</v>
      </c>
    </row>
    <row r="29" spans="4:23">
      <c r="H29" s="173" t="s">
        <v>84</v>
      </c>
      <c r="I29" s="83" t="s">
        <v>21</v>
      </c>
      <c r="J29" s="84" t="s">
        <v>152</v>
      </c>
      <c r="K29" s="85"/>
      <c r="L29" s="186">
        <v>0</v>
      </c>
      <c r="M29" s="191">
        <v>17</v>
      </c>
      <c r="N29" s="89">
        <v>0</v>
      </c>
      <c r="O29" s="88"/>
      <c r="P29" s="89">
        <f t="shared" si="1"/>
        <v>0</v>
      </c>
      <c r="Q29" s="197"/>
      <c r="R29" s="89">
        <f t="shared" si="0"/>
        <v>0</v>
      </c>
      <c r="S29" s="7"/>
      <c r="T29" s="26"/>
      <c r="W29" s="162"/>
    </row>
    <row r="30" spans="4:23">
      <c r="I30" s="189" t="s">
        <v>43</v>
      </c>
      <c r="J30" s="28" t="s">
        <v>73</v>
      </c>
      <c r="K30" s="18"/>
      <c r="L30" s="185">
        <v>0</v>
      </c>
      <c r="M30" s="20"/>
      <c r="N30" s="21">
        <f t="shared" si="2"/>
        <v>0</v>
      </c>
      <c r="O30" s="190">
        <v>29</v>
      </c>
      <c r="P30" s="31">
        <f t="shared" si="1"/>
        <v>150</v>
      </c>
      <c r="Q30" s="196"/>
      <c r="R30" s="31">
        <f t="shared" si="0"/>
        <v>150</v>
      </c>
      <c r="S30" s="7"/>
      <c r="T30" s="137">
        <v>946.8</v>
      </c>
      <c r="U30" s="182">
        <v>117.69</v>
      </c>
      <c r="V30" s="139">
        <v>829.11</v>
      </c>
      <c r="W30" s="160" t="s">
        <v>49</v>
      </c>
    </row>
    <row r="31" spans="4:23">
      <c r="H31" s="174" t="s">
        <v>165</v>
      </c>
      <c r="I31" s="83" t="s">
        <v>44</v>
      </c>
      <c r="J31" s="84" t="s">
        <v>45</v>
      </c>
      <c r="K31" s="85"/>
      <c r="L31" s="186">
        <f>+K31*3</f>
        <v>0</v>
      </c>
      <c r="M31" s="191">
        <v>14</v>
      </c>
      <c r="N31" s="89">
        <v>0</v>
      </c>
      <c r="O31" s="88"/>
      <c r="P31" s="89">
        <f>IF(O31&gt;25,150,(O31)*6)</f>
        <v>0</v>
      </c>
      <c r="Q31" s="197"/>
      <c r="R31" s="89">
        <f t="shared" si="0"/>
        <v>0</v>
      </c>
      <c r="S31" s="7"/>
      <c r="T31" s="140">
        <f>+U31+V31</f>
        <v>822.20212034591304</v>
      </c>
      <c r="U31" s="183">
        <f>+U30*V31/V30</f>
        <v>102.20212034591309</v>
      </c>
      <c r="V31" s="141">
        <v>720</v>
      </c>
      <c r="W31" s="162"/>
    </row>
    <row r="32" spans="4:23" s="4" customFormat="1">
      <c r="D32" s="3"/>
      <c r="F32" s="166"/>
      <c r="I32" s="113" t="s">
        <v>14</v>
      </c>
      <c r="J32" s="114" t="s">
        <v>66</v>
      </c>
      <c r="K32" s="120"/>
      <c r="L32" s="187">
        <f>+K32*3</f>
        <v>0</v>
      </c>
      <c r="M32" s="121">
        <v>23</v>
      </c>
      <c r="N32" s="21">
        <v>0</v>
      </c>
      <c r="O32" s="117"/>
      <c r="P32" s="31">
        <f>IF(O32&gt;25,150,(O32)*6)</f>
        <v>0</v>
      </c>
      <c r="Q32" s="195"/>
      <c r="R32" s="31">
        <f t="shared" si="0"/>
        <v>0</v>
      </c>
      <c r="S32" s="7"/>
      <c r="T32" s="142">
        <f>+T30-T31</f>
        <v>124.59787965408691</v>
      </c>
      <c r="U32" s="183"/>
      <c r="V32" s="143"/>
      <c r="W32" s="4" t="s">
        <v>145</v>
      </c>
    </row>
    <row r="33" spans="8:23">
      <c r="I33" s="189" t="s">
        <v>15</v>
      </c>
      <c r="J33" s="28" t="s">
        <v>16</v>
      </c>
      <c r="K33" s="18"/>
      <c r="L33" s="185">
        <f>+K33*3</f>
        <v>0</v>
      </c>
      <c r="M33" s="20">
        <v>27</v>
      </c>
      <c r="N33" s="21">
        <f>3*M33</f>
        <v>81</v>
      </c>
      <c r="O33" s="190"/>
      <c r="P33" s="23">
        <f t="shared" ref="P33:P42" si="3">IF(O33&gt;25,150,(O33)*6)</f>
        <v>0</v>
      </c>
      <c r="Q33" s="196"/>
      <c r="R33" s="23">
        <f t="shared" si="0"/>
        <v>81</v>
      </c>
      <c r="S33" s="7"/>
      <c r="T33" s="144">
        <v>150</v>
      </c>
      <c r="U33" s="163">
        <f>+T33-T32</f>
        <v>25.40212034591309</v>
      </c>
      <c r="V33" s="164" t="s">
        <v>144</v>
      </c>
      <c r="W33" s="9">
        <f>150-U33</f>
        <v>124.59787965408691</v>
      </c>
    </row>
    <row r="34" spans="8:23">
      <c r="I34" s="189" t="s">
        <v>17</v>
      </c>
      <c r="J34" s="30" t="s">
        <v>119</v>
      </c>
      <c r="K34" s="35"/>
      <c r="L34" s="185"/>
      <c r="M34" s="190"/>
      <c r="N34" s="21">
        <v>0</v>
      </c>
      <c r="O34" s="190">
        <v>31</v>
      </c>
      <c r="P34" s="31">
        <f t="shared" si="3"/>
        <v>150</v>
      </c>
      <c r="Q34" s="195"/>
      <c r="R34" s="31">
        <f t="shared" si="0"/>
        <v>150</v>
      </c>
      <c r="S34" s="7"/>
      <c r="W34" s="162"/>
    </row>
    <row r="35" spans="8:23">
      <c r="I35" s="113" t="s">
        <v>75</v>
      </c>
      <c r="J35" s="114" t="s">
        <v>76</v>
      </c>
      <c r="K35" s="115"/>
      <c r="L35" s="187"/>
      <c r="M35" s="117"/>
      <c r="N35" s="116">
        <f>+M35*3</f>
        <v>0</v>
      </c>
      <c r="O35" s="117"/>
      <c r="P35" s="31">
        <f t="shared" si="3"/>
        <v>0</v>
      </c>
      <c r="Q35" s="195"/>
      <c r="R35" s="31">
        <f t="shared" si="0"/>
        <v>0</v>
      </c>
      <c r="S35" s="7"/>
      <c r="T35" s="137">
        <v>1054.8</v>
      </c>
      <c r="U35" s="182">
        <v>136.18</v>
      </c>
      <c r="V35" s="139">
        <v>918.62</v>
      </c>
      <c r="W35" s="160" t="s">
        <v>50</v>
      </c>
    </row>
    <row r="36" spans="8:23">
      <c r="I36" s="113" t="s">
        <v>146</v>
      </c>
      <c r="J36" s="114" t="s">
        <v>55</v>
      </c>
      <c r="K36" s="115"/>
      <c r="L36" s="187"/>
      <c r="M36" s="117">
        <v>20</v>
      </c>
      <c r="N36" s="116">
        <v>0</v>
      </c>
      <c r="O36" s="117"/>
      <c r="P36" s="31">
        <f t="shared" si="3"/>
        <v>0</v>
      </c>
      <c r="Q36" s="195"/>
      <c r="R36" s="31">
        <f t="shared" si="0"/>
        <v>0</v>
      </c>
      <c r="S36" s="7"/>
      <c r="T36" s="140">
        <f>+U36+V36</f>
        <v>826.73575580762451</v>
      </c>
      <c r="U36" s="183">
        <f>+U35*V36/V35</f>
        <v>106.73575580762449</v>
      </c>
      <c r="V36" s="141">
        <v>720</v>
      </c>
      <c r="W36" s="161">
        <v>788</v>
      </c>
    </row>
    <row r="37" spans="8:23">
      <c r="I37" s="113" t="s">
        <v>69</v>
      </c>
      <c r="J37" s="114" t="s">
        <v>70</v>
      </c>
      <c r="K37" s="115"/>
      <c r="L37" s="187">
        <v>0</v>
      </c>
      <c r="M37" s="117"/>
      <c r="N37" s="116">
        <f>+M37*3</f>
        <v>0</v>
      </c>
      <c r="O37" s="117"/>
      <c r="P37" s="31">
        <f t="shared" si="3"/>
        <v>0</v>
      </c>
      <c r="Q37" s="195"/>
      <c r="R37" s="31">
        <f t="shared" si="0"/>
        <v>0</v>
      </c>
      <c r="S37" s="7"/>
      <c r="T37" s="142">
        <f>+T35-T36</f>
        <v>228.06424419237544</v>
      </c>
      <c r="U37" s="183"/>
      <c r="V37" s="143"/>
      <c r="W37" s="162"/>
    </row>
    <row r="38" spans="8:23">
      <c r="I38" s="189" t="s">
        <v>91</v>
      </c>
      <c r="J38" s="30" t="s">
        <v>92</v>
      </c>
      <c r="K38" s="35"/>
      <c r="L38" s="185">
        <v>0</v>
      </c>
      <c r="M38" s="190"/>
      <c r="N38" s="21">
        <f>+M38*3</f>
        <v>0</v>
      </c>
      <c r="O38" s="190">
        <v>30</v>
      </c>
      <c r="P38" s="31">
        <f t="shared" si="3"/>
        <v>150</v>
      </c>
      <c r="Q38" s="195"/>
      <c r="R38" s="31">
        <f t="shared" si="0"/>
        <v>150</v>
      </c>
      <c r="S38" s="7"/>
      <c r="T38" s="144">
        <v>150</v>
      </c>
      <c r="U38" s="163">
        <f>+T38-T37</f>
        <v>-78.06424419237544</v>
      </c>
      <c r="V38" s="164" t="s">
        <v>144</v>
      </c>
      <c r="W38" s="165">
        <v>0.01</v>
      </c>
    </row>
    <row r="39" spans="8:23">
      <c r="I39" s="189" t="s">
        <v>93</v>
      </c>
      <c r="J39" s="28" t="s">
        <v>94</v>
      </c>
      <c r="K39" s="18"/>
      <c r="L39" s="185">
        <v>0</v>
      </c>
      <c r="M39" s="20">
        <v>14</v>
      </c>
      <c r="N39" s="21">
        <v>60</v>
      </c>
      <c r="O39" s="190"/>
      <c r="P39" s="31">
        <f t="shared" si="3"/>
        <v>0</v>
      </c>
      <c r="Q39" s="196"/>
      <c r="R39" s="31">
        <f t="shared" si="0"/>
        <v>60</v>
      </c>
      <c r="S39" s="7"/>
      <c r="W39" s="162"/>
    </row>
    <row r="40" spans="8:23">
      <c r="I40" s="189" t="s">
        <v>120</v>
      </c>
      <c r="J40" s="28" t="s">
        <v>121</v>
      </c>
      <c r="K40" s="18"/>
      <c r="L40" s="185">
        <v>0</v>
      </c>
      <c r="M40" s="20"/>
      <c r="N40" s="21">
        <v>0</v>
      </c>
      <c r="O40" s="190">
        <v>29</v>
      </c>
      <c r="P40" s="31">
        <f t="shared" si="3"/>
        <v>150</v>
      </c>
      <c r="Q40" s="196"/>
      <c r="R40" s="31">
        <f t="shared" si="0"/>
        <v>150</v>
      </c>
      <c r="S40" s="7"/>
      <c r="T40" s="137">
        <v>964.8</v>
      </c>
      <c r="U40" s="182">
        <v>113.27</v>
      </c>
      <c r="V40" s="139">
        <v>851.53</v>
      </c>
      <c r="W40" s="160" t="s">
        <v>57</v>
      </c>
    </row>
    <row r="41" spans="8:23">
      <c r="I41" s="189" t="s">
        <v>125</v>
      </c>
      <c r="J41" s="28" t="s">
        <v>126</v>
      </c>
      <c r="K41" s="18"/>
      <c r="L41" s="185">
        <v>0</v>
      </c>
      <c r="M41" s="20">
        <v>23</v>
      </c>
      <c r="N41" s="21">
        <v>0</v>
      </c>
      <c r="O41" s="190"/>
      <c r="P41" s="31">
        <f t="shared" si="3"/>
        <v>0</v>
      </c>
      <c r="Q41" s="196"/>
      <c r="R41" s="31">
        <f t="shared" si="0"/>
        <v>0</v>
      </c>
      <c r="S41" s="7"/>
      <c r="T41" s="140" t="e">
        <f>+U41+V41</f>
        <v>#DIV/0!</v>
      </c>
      <c r="U41" s="183" t="e">
        <f>+U39*V41/V39</f>
        <v>#DIV/0!</v>
      </c>
      <c r="V41" s="141">
        <v>720</v>
      </c>
    </row>
    <row r="42" spans="8:23">
      <c r="H42" s="173" t="s">
        <v>84</v>
      </c>
      <c r="I42" s="198" t="s">
        <v>158</v>
      </c>
      <c r="J42" s="199" t="s">
        <v>159</v>
      </c>
      <c r="K42" s="200"/>
      <c r="L42" s="201">
        <v>0</v>
      </c>
      <c r="M42" s="202">
        <v>23</v>
      </c>
      <c r="N42" s="203">
        <v>0</v>
      </c>
      <c r="O42" s="204"/>
      <c r="P42" s="203">
        <f t="shared" si="3"/>
        <v>0</v>
      </c>
      <c r="Q42" s="205"/>
      <c r="R42" s="203">
        <f t="shared" si="0"/>
        <v>0</v>
      </c>
      <c r="S42" s="7"/>
      <c r="T42" s="140">
        <f>+U42+V42</f>
        <v>815.77395981351219</v>
      </c>
      <c r="U42" s="183">
        <f>+U40*V42/V40</f>
        <v>95.77395981351215</v>
      </c>
      <c r="V42" s="141">
        <v>720</v>
      </c>
    </row>
    <row r="43" spans="8:23">
      <c r="I43" s="41"/>
      <c r="J43" s="42"/>
      <c r="K43" s="65">
        <f t="shared" ref="K43:Q43" si="4">SUM(K5:K42)</f>
        <v>0</v>
      </c>
      <c r="L43" s="66">
        <f t="shared" si="4"/>
        <v>0</v>
      </c>
      <c r="M43" s="56">
        <f t="shared" si="4"/>
        <v>235</v>
      </c>
      <c r="N43" s="58">
        <f t="shared" si="4"/>
        <v>321</v>
      </c>
      <c r="O43" s="56">
        <f t="shared" si="4"/>
        <v>464</v>
      </c>
      <c r="P43" s="58">
        <f t="shared" si="4"/>
        <v>2034</v>
      </c>
      <c r="Q43" s="58">
        <f t="shared" si="4"/>
        <v>10</v>
      </c>
      <c r="R43" s="57">
        <f t="shared" si="0"/>
        <v>2365</v>
      </c>
      <c r="S43" s="7"/>
      <c r="T43" s="142">
        <f>+T40-T42</f>
        <v>149.02604018648776</v>
      </c>
      <c r="U43" s="183"/>
      <c r="V43" s="143"/>
      <c r="W43" s="4" t="s">
        <v>145</v>
      </c>
    </row>
    <row r="44" spans="8:23">
      <c r="L44" s="167" t="s">
        <v>105</v>
      </c>
      <c r="M44" s="168">
        <v>245</v>
      </c>
      <c r="N44" s="167" t="s">
        <v>105</v>
      </c>
      <c r="O44" s="168">
        <f>+O45-O43</f>
        <v>-99</v>
      </c>
      <c r="P44" s="168">
        <f>+P45-P43</f>
        <v>336</v>
      </c>
      <c r="Q44" s="168"/>
      <c r="R44" s="175">
        <f>+R7+R16+R25+R29+R42</f>
        <v>100</v>
      </c>
      <c r="S44" s="7"/>
      <c r="T44" s="144">
        <v>150</v>
      </c>
      <c r="U44" s="163">
        <f>+T44-T43</f>
        <v>0.97395981351223782</v>
      </c>
      <c r="V44" s="164" t="s">
        <v>144</v>
      </c>
      <c r="W44" s="9">
        <f>150-U44</f>
        <v>149.02604018648776</v>
      </c>
    </row>
    <row r="45" spans="8:23">
      <c r="L45" s="169"/>
      <c r="M45" s="170">
        <f>+M43-M44</f>
        <v>-10</v>
      </c>
      <c r="N45" s="171" t="s">
        <v>147</v>
      </c>
      <c r="O45" s="169">
        <v>365</v>
      </c>
      <c r="P45" s="169">
        <v>2370</v>
      </c>
      <c r="Q45" s="176" t="s">
        <v>133</v>
      </c>
      <c r="R45" s="177">
        <f>+R43-R44</f>
        <v>2265</v>
      </c>
      <c r="S45" s="7"/>
    </row>
    <row r="47" spans="8:23">
      <c r="Q47">
        <f>186/31</f>
        <v>6</v>
      </c>
    </row>
    <row r="48" spans="8:23">
      <c r="P48" s="67"/>
    </row>
    <row r="49" spans="16:16">
      <c r="P49" s="67"/>
    </row>
  </sheetData>
  <mergeCells count="4">
    <mergeCell ref="I2:R2"/>
    <mergeCell ref="K3:N3"/>
    <mergeCell ref="O3:P3"/>
    <mergeCell ref="S3:T3"/>
  </mergeCells>
  <conditionalFormatting sqref="R43 R5:R6">
    <cfRule type="cellIs" dxfId="7" priority="1" operator="lessThanOrEqual">
      <formula>0</formula>
    </cfRule>
  </conditionalFormatting>
  <pageMargins left="0.7" right="0.7" top="0.75" bottom="0.75" header="0.3" footer="0.3"/>
  <pageSetup paperSize="9" orientation="portrait" r:id="rId1"/>
  <ignoredErrors>
    <ignoredError sqref="N1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C1:W48"/>
  <sheetViews>
    <sheetView zoomScale="85" zoomScaleNormal="85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O48" sqref="O48"/>
    </sheetView>
  </sheetViews>
  <sheetFormatPr baseColWidth="10" defaultRowHeight="15"/>
  <cols>
    <col min="1" max="1" width="5.7109375" customWidth="1"/>
    <col min="2" max="2" width="0" hidden="1" customWidth="1"/>
    <col min="3" max="3" width="20.7109375" hidden="1" customWidth="1"/>
    <col min="4" max="4" width="20.7109375" style="1" hidden="1" customWidth="1"/>
    <col min="5" max="5" width="13.28515625" hidden="1" customWidth="1"/>
    <col min="6" max="6" width="10.42578125" style="2" hidden="1" customWidth="1"/>
    <col min="7" max="7" width="25.28515625" hidden="1" customWidth="1"/>
    <col min="8" max="8" width="12.5703125" bestFit="1" customWidth="1"/>
    <col min="9" max="9" width="8.7109375" customWidth="1"/>
    <col min="10" max="10" width="24.140625" customWidth="1"/>
    <col min="11" max="11" width="8.7109375" customWidth="1"/>
    <col min="12" max="12" width="10.7109375" bestFit="1" customWidth="1"/>
    <col min="13" max="13" width="8.7109375" customWidth="1"/>
    <col min="14" max="14" width="10.28515625" bestFit="1" customWidth="1"/>
    <col min="15" max="15" width="8.7109375" customWidth="1"/>
    <col min="16" max="16" width="11.42578125" customWidth="1"/>
    <col min="17" max="17" width="11.7109375" customWidth="1"/>
    <col min="18" max="18" width="12.5703125" bestFit="1" customWidth="1"/>
    <col min="19" max="19" width="6.7109375" customWidth="1"/>
    <col min="20" max="20" width="12.140625" customWidth="1"/>
    <col min="21" max="21" width="10.5703125" style="181" customWidth="1"/>
    <col min="22" max="22" width="9.42578125" customWidth="1"/>
    <col min="23" max="23" width="20.7109375" customWidth="1"/>
    <col min="24" max="24" width="14.7109375" customWidth="1"/>
    <col min="25" max="25" width="16.28515625" bestFit="1" customWidth="1"/>
    <col min="27" max="27" width="18.7109375" bestFit="1" customWidth="1"/>
  </cols>
  <sheetData>
    <row r="1" spans="8:23" ht="5.0999999999999996" customHeight="1"/>
    <row r="2" spans="8:23">
      <c r="I2" s="418" t="s">
        <v>154</v>
      </c>
      <c r="J2" s="418"/>
      <c r="K2" s="418"/>
      <c r="L2" s="418"/>
      <c r="M2" s="418"/>
      <c r="N2" s="418"/>
      <c r="O2" s="418"/>
      <c r="P2" s="418"/>
      <c r="Q2" s="418"/>
      <c r="R2" s="418"/>
      <c r="T2" s="43"/>
    </row>
    <row r="3" spans="8:23">
      <c r="I3" s="11"/>
      <c r="J3" s="11"/>
      <c r="K3" s="419" t="s">
        <v>58</v>
      </c>
      <c r="L3" s="420"/>
      <c r="M3" s="420"/>
      <c r="N3" s="421"/>
      <c r="O3" s="420" t="s">
        <v>59</v>
      </c>
      <c r="P3" s="421"/>
      <c r="Q3" s="11"/>
      <c r="R3" s="11"/>
      <c r="S3" s="424">
        <f ca="1">+TODAY()</f>
        <v>43292</v>
      </c>
      <c r="T3" s="425"/>
    </row>
    <row r="4" spans="8:23" ht="40.5">
      <c r="I4" s="12" t="s">
        <v>11</v>
      </c>
      <c r="J4" s="12" t="s">
        <v>3</v>
      </c>
      <c r="K4" s="64" t="s">
        <v>23</v>
      </c>
      <c r="L4" s="64" t="s">
        <v>77</v>
      </c>
      <c r="M4" s="13" t="s">
        <v>23</v>
      </c>
      <c r="N4" s="13" t="s">
        <v>149</v>
      </c>
      <c r="O4" s="13" t="s">
        <v>23</v>
      </c>
      <c r="P4" s="13" t="s">
        <v>156</v>
      </c>
      <c r="Q4" s="13" t="s">
        <v>157</v>
      </c>
      <c r="R4" s="14" t="s">
        <v>60</v>
      </c>
      <c r="S4" s="7"/>
    </row>
    <row r="5" spans="8:23">
      <c r="I5" s="16" t="s">
        <v>61</v>
      </c>
      <c r="J5" s="17" t="s">
        <v>62</v>
      </c>
      <c r="K5" s="18"/>
      <c r="L5" s="184">
        <f>+K5*3</f>
        <v>0</v>
      </c>
      <c r="M5" s="20">
        <v>10</v>
      </c>
      <c r="N5" s="21">
        <v>0</v>
      </c>
      <c r="O5" s="22"/>
      <c r="P5" s="23"/>
      <c r="Q5" s="24"/>
      <c r="R5" s="134">
        <f>+L5+N5+P5+Q5</f>
        <v>0</v>
      </c>
      <c r="S5" s="7"/>
      <c r="T5" s="137">
        <v>1000.8</v>
      </c>
      <c r="U5" s="182">
        <v>130.1</v>
      </c>
      <c r="V5" s="139">
        <v>870.7</v>
      </c>
      <c r="W5" s="160" t="s">
        <v>143</v>
      </c>
    </row>
    <row r="6" spans="8:23">
      <c r="I6" s="27" t="s">
        <v>4</v>
      </c>
      <c r="J6" s="28" t="s">
        <v>12</v>
      </c>
      <c r="K6" s="18"/>
      <c r="L6" s="185">
        <f>+K6*3</f>
        <v>0</v>
      </c>
      <c r="M6" s="20"/>
      <c r="N6" s="21">
        <v>0</v>
      </c>
      <c r="O6" s="22"/>
      <c r="P6" s="23"/>
      <c r="Q6" s="24"/>
      <c r="R6" s="124">
        <f t="shared" ref="R6:R43" si="0">+L6+N6+P6+Q6</f>
        <v>0</v>
      </c>
      <c r="S6" s="7"/>
      <c r="T6" s="140">
        <f>+U6+V6</f>
        <v>827.58240496152519</v>
      </c>
      <c r="U6" s="183">
        <f>+U5*V6/V5</f>
        <v>107.5824049615252</v>
      </c>
      <c r="V6" s="141">
        <v>720</v>
      </c>
      <c r="W6" s="161">
        <v>740.02</v>
      </c>
    </row>
    <row r="7" spans="8:23">
      <c r="H7" s="174" t="s">
        <v>155</v>
      </c>
      <c r="I7" s="83" t="s">
        <v>1</v>
      </c>
      <c r="J7" s="84" t="s">
        <v>56</v>
      </c>
      <c r="K7" s="85"/>
      <c r="L7" s="186">
        <f>+K7*3</f>
        <v>0</v>
      </c>
      <c r="M7" s="191">
        <v>12</v>
      </c>
      <c r="N7" s="89">
        <f>3*M7</f>
        <v>36</v>
      </c>
      <c r="O7" s="88"/>
      <c r="P7" s="89">
        <f>IF(O7&gt;25,150,(O7)*6)</f>
        <v>0</v>
      </c>
      <c r="Q7" s="90"/>
      <c r="R7" s="128">
        <f t="shared" si="0"/>
        <v>36</v>
      </c>
      <c r="S7" s="192" t="s">
        <v>160</v>
      </c>
      <c r="T7" s="142">
        <f>+T5-T6</f>
        <v>173.21759503847477</v>
      </c>
      <c r="U7" s="183"/>
      <c r="V7" s="143"/>
      <c r="W7" s="162"/>
    </row>
    <row r="8" spans="8:23">
      <c r="I8" s="113" t="s">
        <v>2</v>
      </c>
      <c r="J8" s="114" t="s">
        <v>47</v>
      </c>
      <c r="K8" s="115"/>
      <c r="L8" s="187"/>
      <c r="M8" s="117"/>
      <c r="N8" s="21">
        <f>+M8*3</f>
        <v>0</v>
      </c>
      <c r="O8" s="117">
        <v>21</v>
      </c>
      <c r="P8" s="31">
        <f>IF(O8&gt;25,150,(O8)*6)</f>
        <v>126</v>
      </c>
      <c r="Q8" s="32"/>
      <c r="R8" s="131">
        <f t="shared" si="0"/>
        <v>126</v>
      </c>
      <c r="S8" s="7"/>
      <c r="T8" s="144">
        <v>150</v>
      </c>
      <c r="U8" s="163">
        <f>+T8-T7</f>
        <v>-23.217595038474769</v>
      </c>
      <c r="V8" s="164" t="s">
        <v>144</v>
      </c>
      <c r="W8" s="165">
        <v>0.01</v>
      </c>
    </row>
    <row r="9" spans="8:23">
      <c r="I9" s="27" t="s">
        <v>0</v>
      </c>
      <c r="J9" s="28" t="s">
        <v>7</v>
      </c>
      <c r="K9" s="18"/>
      <c r="L9" s="185">
        <f>+K9*5</f>
        <v>0</v>
      </c>
      <c r="M9" s="20">
        <v>10</v>
      </c>
      <c r="N9" s="21">
        <f>5*M9</f>
        <v>50</v>
      </c>
      <c r="O9" s="22"/>
      <c r="P9" s="23">
        <v>0</v>
      </c>
      <c r="Q9" s="24"/>
      <c r="R9" s="125">
        <f t="shared" si="0"/>
        <v>50</v>
      </c>
      <c r="S9" s="192" t="s">
        <v>160</v>
      </c>
      <c r="T9" s="26"/>
      <c r="W9" s="162"/>
    </row>
    <row r="10" spans="8:23">
      <c r="I10" s="27" t="s">
        <v>5</v>
      </c>
      <c r="J10" s="30" t="s">
        <v>71</v>
      </c>
      <c r="K10" s="18"/>
      <c r="L10" s="185">
        <f>+K10*3</f>
        <v>0</v>
      </c>
      <c r="M10" s="179"/>
      <c r="N10" s="21">
        <f>+M10*5</f>
        <v>0</v>
      </c>
      <c r="O10" s="36"/>
      <c r="P10" s="31">
        <f t="shared" ref="P10:P30" si="1">IF(O10&gt;25,150,(O10)*6)</f>
        <v>0</v>
      </c>
      <c r="Q10" s="32"/>
      <c r="R10" s="131">
        <f t="shared" si="0"/>
        <v>0</v>
      </c>
      <c r="S10" s="7"/>
      <c r="T10" s="137">
        <v>838.8</v>
      </c>
      <c r="U10" s="182">
        <v>108.71</v>
      </c>
      <c r="V10" s="139">
        <v>730.09</v>
      </c>
      <c r="W10" s="160" t="s">
        <v>52</v>
      </c>
    </row>
    <row r="11" spans="8:23">
      <c r="I11" s="27" t="s">
        <v>27</v>
      </c>
      <c r="J11" s="30" t="s">
        <v>28</v>
      </c>
      <c r="K11" s="18"/>
      <c r="L11" s="185">
        <v>0</v>
      </c>
      <c r="M11" s="179">
        <v>15</v>
      </c>
      <c r="N11" s="21">
        <f>5*M11</f>
        <v>75</v>
      </c>
      <c r="O11" s="36"/>
      <c r="P11" s="31">
        <f t="shared" si="1"/>
        <v>0</v>
      </c>
      <c r="Q11" s="32"/>
      <c r="R11" s="126">
        <f t="shared" si="0"/>
        <v>75</v>
      </c>
      <c r="S11" s="192" t="s">
        <v>160</v>
      </c>
      <c r="T11" s="140">
        <f>+U11+V11</f>
        <v>827.20760454190577</v>
      </c>
      <c r="U11" s="183">
        <f>+U10*V11/V10</f>
        <v>107.20760454190578</v>
      </c>
      <c r="V11" s="141">
        <v>720</v>
      </c>
      <c r="W11" s="162"/>
    </row>
    <row r="12" spans="8:23">
      <c r="I12" s="27" t="s">
        <v>8</v>
      </c>
      <c r="J12" s="30" t="s">
        <v>29</v>
      </c>
      <c r="K12" s="35"/>
      <c r="L12" s="185"/>
      <c r="M12" s="179"/>
      <c r="N12" s="21">
        <v>0</v>
      </c>
      <c r="O12" s="36">
        <v>28</v>
      </c>
      <c r="P12" s="31">
        <f t="shared" si="1"/>
        <v>150</v>
      </c>
      <c r="Q12" s="32"/>
      <c r="R12" s="131">
        <f t="shared" si="0"/>
        <v>150</v>
      </c>
      <c r="S12" s="7"/>
      <c r="T12" s="142">
        <f>+T10-T11</f>
        <v>11.592395458094188</v>
      </c>
      <c r="U12" s="183"/>
      <c r="V12" s="143"/>
      <c r="W12" s="4" t="s">
        <v>145</v>
      </c>
    </row>
    <row r="13" spans="8:23">
      <c r="I13" s="27" t="s">
        <v>63</v>
      </c>
      <c r="J13" s="30" t="s">
        <v>33</v>
      </c>
      <c r="K13" s="35"/>
      <c r="L13" s="185"/>
      <c r="M13" s="179"/>
      <c r="N13" s="21">
        <f>+M13*3</f>
        <v>0</v>
      </c>
      <c r="O13" s="36">
        <v>23</v>
      </c>
      <c r="P13" s="31">
        <f t="shared" si="1"/>
        <v>138</v>
      </c>
      <c r="Q13" s="32"/>
      <c r="R13" s="131">
        <f t="shared" si="0"/>
        <v>138</v>
      </c>
      <c r="S13" s="7"/>
      <c r="T13" s="144">
        <v>150</v>
      </c>
      <c r="U13" s="163">
        <f>+T13-T12</f>
        <v>138.40760454190581</v>
      </c>
      <c r="V13" s="164" t="s">
        <v>144</v>
      </c>
      <c r="W13" s="9">
        <f>150-U13</f>
        <v>11.592395458094188</v>
      </c>
    </row>
    <row r="14" spans="8:23">
      <c r="I14" s="27" t="s">
        <v>24</v>
      </c>
      <c r="J14" s="30" t="s">
        <v>30</v>
      </c>
      <c r="K14" s="18"/>
      <c r="L14" s="185">
        <v>0</v>
      </c>
      <c r="M14" s="20">
        <v>11</v>
      </c>
      <c r="N14" s="21">
        <v>0</v>
      </c>
      <c r="O14" s="36">
        <v>7</v>
      </c>
      <c r="P14" s="31">
        <f t="shared" si="1"/>
        <v>42</v>
      </c>
      <c r="Q14" s="32"/>
      <c r="R14" s="124">
        <f t="shared" si="0"/>
        <v>42</v>
      </c>
      <c r="S14" s="7"/>
      <c r="T14" s="26"/>
      <c r="W14" s="162"/>
    </row>
    <row r="15" spans="8:23">
      <c r="I15" s="27" t="s">
        <v>18</v>
      </c>
      <c r="J15" s="28" t="s">
        <v>72</v>
      </c>
      <c r="K15" s="18"/>
      <c r="L15" s="185">
        <f>+K15*3</f>
        <v>0</v>
      </c>
      <c r="M15" s="20">
        <v>11</v>
      </c>
      <c r="N15" s="21">
        <f>+M15*3+23</f>
        <v>56</v>
      </c>
      <c r="O15" s="36"/>
      <c r="P15" s="31">
        <f t="shared" si="1"/>
        <v>0</v>
      </c>
      <c r="Q15" s="24"/>
      <c r="R15" s="125">
        <f t="shared" si="0"/>
        <v>56</v>
      </c>
      <c r="S15" s="192" t="s">
        <v>160</v>
      </c>
      <c r="T15" s="137">
        <v>964.8</v>
      </c>
      <c r="U15" s="182">
        <v>125.42</v>
      </c>
      <c r="V15" s="139">
        <v>839.38</v>
      </c>
      <c r="W15" s="160" t="s">
        <v>53</v>
      </c>
    </row>
    <row r="16" spans="8:23">
      <c r="H16" s="173" t="s">
        <v>84</v>
      </c>
      <c r="I16" s="83" t="s">
        <v>6</v>
      </c>
      <c r="J16" s="84" t="s">
        <v>99</v>
      </c>
      <c r="K16" s="85"/>
      <c r="L16" s="186">
        <f>+K16*3</f>
        <v>0</v>
      </c>
      <c r="M16" s="191"/>
      <c r="N16" s="89">
        <f t="shared" ref="N16:N32" si="2">+M16*3</f>
        <v>0</v>
      </c>
      <c r="O16" s="88"/>
      <c r="P16" s="89">
        <f t="shared" si="1"/>
        <v>0</v>
      </c>
      <c r="Q16" s="90"/>
      <c r="R16" s="135">
        <f t="shared" si="0"/>
        <v>0</v>
      </c>
      <c r="S16" s="7"/>
      <c r="T16" s="140">
        <f>+U16+V16</f>
        <v>827.58226309895394</v>
      </c>
      <c r="U16" s="183">
        <f>+U15*V16/V15</f>
        <v>107.58226309895399</v>
      </c>
      <c r="V16" s="141">
        <v>720</v>
      </c>
      <c r="W16" s="162"/>
    </row>
    <row r="17" spans="4:23">
      <c r="I17" s="27" t="s">
        <v>31</v>
      </c>
      <c r="J17" s="30" t="s">
        <v>32</v>
      </c>
      <c r="K17" s="35"/>
      <c r="L17" s="185"/>
      <c r="M17" s="179"/>
      <c r="N17" s="21">
        <f t="shared" si="2"/>
        <v>0</v>
      </c>
      <c r="O17" s="36">
        <v>28</v>
      </c>
      <c r="P17" s="31">
        <f t="shared" si="1"/>
        <v>150</v>
      </c>
      <c r="Q17" s="32"/>
      <c r="R17" s="124">
        <f t="shared" si="0"/>
        <v>150</v>
      </c>
      <c r="S17" s="7"/>
      <c r="T17" s="142">
        <f>+T15-T16</f>
        <v>137.21773690104601</v>
      </c>
      <c r="U17" s="183"/>
      <c r="V17" s="143"/>
      <c r="W17" s="4" t="s">
        <v>145</v>
      </c>
    </row>
    <row r="18" spans="4:23">
      <c r="I18" s="27" t="s">
        <v>54</v>
      </c>
      <c r="J18" s="30" t="s">
        <v>55</v>
      </c>
      <c r="K18" s="18"/>
      <c r="L18" s="185">
        <f>+K18*3</f>
        <v>0</v>
      </c>
      <c r="M18" s="20"/>
      <c r="N18" s="21">
        <f t="shared" si="2"/>
        <v>0</v>
      </c>
      <c r="O18" s="36"/>
      <c r="P18" s="31">
        <f t="shared" si="1"/>
        <v>0</v>
      </c>
      <c r="Q18" s="32"/>
      <c r="R18" s="124">
        <f t="shared" si="0"/>
        <v>0</v>
      </c>
      <c r="S18" s="7"/>
      <c r="T18" s="144">
        <v>150</v>
      </c>
      <c r="U18" s="163">
        <f>+T18-T17+0.01</f>
        <v>12.79226309895399</v>
      </c>
      <c r="V18" s="164" t="s">
        <v>144</v>
      </c>
      <c r="W18" s="9">
        <f>150-U18</f>
        <v>137.20773690104602</v>
      </c>
    </row>
    <row r="19" spans="4:23">
      <c r="I19" s="113" t="s">
        <v>10</v>
      </c>
      <c r="J19" s="114" t="s">
        <v>34</v>
      </c>
      <c r="K19" s="115"/>
      <c r="L19" s="187"/>
      <c r="M19" s="117"/>
      <c r="N19" s="116">
        <f t="shared" si="2"/>
        <v>0</v>
      </c>
      <c r="O19" s="117">
        <v>27</v>
      </c>
      <c r="P19" s="31">
        <f t="shared" si="1"/>
        <v>150</v>
      </c>
      <c r="Q19" s="32"/>
      <c r="R19" s="131">
        <f t="shared" si="0"/>
        <v>150</v>
      </c>
      <c r="S19" s="7"/>
      <c r="T19" s="26"/>
      <c r="W19" s="162"/>
    </row>
    <row r="20" spans="4:23">
      <c r="I20" s="113" t="s">
        <v>9</v>
      </c>
      <c r="J20" s="114" t="s">
        <v>35</v>
      </c>
      <c r="K20" s="115"/>
      <c r="L20" s="187"/>
      <c r="M20" s="117"/>
      <c r="N20" s="116">
        <f t="shared" si="2"/>
        <v>0</v>
      </c>
      <c r="O20" s="117">
        <v>35</v>
      </c>
      <c r="P20" s="31">
        <f t="shared" si="1"/>
        <v>150</v>
      </c>
      <c r="Q20" s="32"/>
      <c r="R20" s="131">
        <f t="shared" si="0"/>
        <v>150</v>
      </c>
      <c r="S20" s="7"/>
      <c r="T20" s="137">
        <v>1000.8</v>
      </c>
      <c r="U20" s="182">
        <v>130.1</v>
      </c>
      <c r="V20" s="139">
        <v>870.7</v>
      </c>
      <c r="W20" s="160" t="s">
        <v>74</v>
      </c>
    </row>
    <row r="21" spans="4:23">
      <c r="I21" s="27" t="s">
        <v>36</v>
      </c>
      <c r="J21" s="30" t="s">
        <v>37</v>
      </c>
      <c r="K21" s="35"/>
      <c r="L21" s="185"/>
      <c r="M21" s="179"/>
      <c r="N21" s="21">
        <f t="shared" si="2"/>
        <v>0</v>
      </c>
      <c r="O21" s="36"/>
      <c r="P21" s="31">
        <f t="shared" si="1"/>
        <v>0</v>
      </c>
      <c r="Q21" s="32"/>
      <c r="R21" s="124">
        <f t="shared" si="0"/>
        <v>0</v>
      </c>
      <c r="S21" s="7"/>
      <c r="T21" s="140">
        <f>+U21+V21</f>
        <v>827.58240496152519</v>
      </c>
      <c r="U21" s="183">
        <f>+U20*V21/V20</f>
        <v>107.5824049615252</v>
      </c>
      <c r="V21" s="141">
        <v>720</v>
      </c>
      <c r="W21" s="161">
        <v>740.02</v>
      </c>
    </row>
    <row r="22" spans="4:23">
      <c r="I22" s="27" t="s">
        <v>64</v>
      </c>
      <c r="J22" s="30" t="s">
        <v>65</v>
      </c>
      <c r="K22" s="35"/>
      <c r="L22" s="185"/>
      <c r="M22" s="179"/>
      <c r="N22" s="21">
        <v>0</v>
      </c>
      <c r="O22" s="36">
        <v>23</v>
      </c>
      <c r="P22" s="31">
        <f t="shared" si="1"/>
        <v>138</v>
      </c>
      <c r="Q22" s="32"/>
      <c r="R22" s="124">
        <f t="shared" si="0"/>
        <v>138</v>
      </c>
      <c r="S22" s="7"/>
      <c r="T22" s="142">
        <f>+T20-T21</f>
        <v>173.21759503847477</v>
      </c>
      <c r="U22" s="183"/>
      <c r="V22" s="143"/>
      <c r="W22" s="162"/>
    </row>
    <row r="23" spans="4:23">
      <c r="I23" s="27" t="s">
        <v>13</v>
      </c>
      <c r="J23" s="30" t="s">
        <v>38</v>
      </c>
      <c r="K23" s="35"/>
      <c r="L23" s="185"/>
      <c r="M23" s="179"/>
      <c r="N23" s="21">
        <f t="shared" si="2"/>
        <v>0</v>
      </c>
      <c r="O23" s="36">
        <v>28</v>
      </c>
      <c r="P23" s="31">
        <f t="shared" si="1"/>
        <v>150</v>
      </c>
      <c r="Q23" s="32"/>
      <c r="R23" s="124">
        <f t="shared" si="0"/>
        <v>150</v>
      </c>
      <c r="S23" s="7"/>
      <c r="T23" s="144">
        <v>150</v>
      </c>
      <c r="U23" s="163">
        <f>+T23-T22</f>
        <v>-23.217595038474769</v>
      </c>
      <c r="V23" s="164" t="s">
        <v>144</v>
      </c>
      <c r="W23" s="165">
        <v>0.01</v>
      </c>
    </row>
    <row r="24" spans="4:23">
      <c r="I24" s="27" t="s">
        <v>39</v>
      </c>
      <c r="J24" s="30" t="s">
        <v>40</v>
      </c>
      <c r="K24" s="35"/>
      <c r="L24" s="185"/>
      <c r="M24" s="179"/>
      <c r="N24" s="21">
        <f t="shared" si="2"/>
        <v>0</v>
      </c>
      <c r="O24" s="36"/>
      <c r="P24" s="31">
        <f t="shared" si="1"/>
        <v>0</v>
      </c>
      <c r="Q24" s="32"/>
      <c r="R24" s="124">
        <f t="shared" si="0"/>
        <v>0</v>
      </c>
      <c r="S24" s="7"/>
      <c r="T24" s="26"/>
      <c r="W24" s="162"/>
    </row>
    <row r="25" spans="4:23">
      <c r="H25" s="173" t="s">
        <v>84</v>
      </c>
      <c r="I25" s="83" t="s">
        <v>19</v>
      </c>
      <c r="J25" s="84" t="s">
        <v>20</v>
      </c>
      <c r="K25" s="85"/>
      <c r="L25" s="186">
        <f>+K25*3</f>
        <v>0</v>
      </c>
      <c r="M25" s="191"/>
      <c r="N25" s="89">
        <f t="shared" si="2"/>
        <v>0</v>
      </c>
      <c r="O25" s="88"/>
      <c r="P25" s="89">
        <f t="shared" si="1"/>
        <v>0</v>
      </c>
      <c r="Q25" s="90"/>
      <c r="R25" s="135">
        <f t="shared" si="0"/>
        <v>0</v>
      </c>
      <c r="S25" s="7"/>
      <c r="T25" s="137">
        <v>946.8</v>
      </c>
      <c r="U25" s="182">
        <v>123.08</v>
      </c>
      <c r="V25" s="139">
        <v>823.72</v>
      </c>
      <c r="W25" s="160" t="s">
        <v>51</v>
      </c>
    </row>
    <row r="26" spans="4:23">
      <c r="I26" s="27" t="s">
        <v>41</v>
      </c>
      <c r="J26" s="30" t="s">
        <v>42</v>
      </c>
      <c r="K26" s="35"/>
      <c r="L26" s="185"/>
      <c r="M26" s="179"/>
      <c r="N26" s="21">
        <f t="shared" si="2"/>
        <v>0</v>
      </c>
      <c r="O26" s="36"/>
      <c r="P26" s="31">
        <f t="shared" si="1"/>
        <v>0</v>
      </c>
      <c r="Q26" s="32"/>
      <c r="R26" s="124">
        <f t="shared" si="0"/>
        <v>0</v>
      </c>
      <c r="S26" s="7"/>
      <c r="T26" s="140">
        <f>+U26+V26</f>
        <v>827.5821881221774</v>
      </c>
      <c r="U26" s="183">
        <f>+U25*V26/V25</f>
        <v>107.58218812217744</v>
      </c>
      <c r="V26" s="141">
        <v>720</v>
      </c>
      <c r="W26" s="162"/>
    </row>
    <row r="27" spans="4:23">
      <c r="I27" s="27" t="s">
        <v>26</v>
      </c>
      <c r="J27" s="30" t="s">
        <v>48</v>
      </c>
      <c r="K27" s="18"/>
      <c r="L27" s="185">
        <v>0</v>
      </c>
      <c r="M27" s="20"/>
      <c r="N27" s="21">
        <f t="shared" si="2"/>
        <v>0</v>
      </c>
      <c r="O27" s="36">
        <v>30</v>
      </c>
      <c r="P27" s="31">
        <f t="shared" si="1"/>
        <v>150</v>
      </c>
      <c r="Q27" s="32"/>
      <c r="R27" s="124">
        <f t="shared" si="0"/>
        <v>150</v>
      </c>
      <c r="S27" s="7"/>
      <c r="T27" s="142">
        <f>+T25-T26</f>
        <v>119.21781187782256</v>
      </c>
      <c r="U27" s="183"/>
      <c r="V27" s="143"/>
      <c r="W27" s="4" t="s">
        <v>145</v>
      </c>
    </row>
    <row r="28" spans="4:23">
      <c r="I28" s="27" t="s">
        <v>67</v>
      </c>
      <c r="J28" s="28" t="s">
        <v>68</v>
      </c>
      <c r="K28" s="18"/>
      <c r="L28" s="185">
        <v>0</v>
      </c>
      <c r="M28" s="20"/>
      <c r="N28" s="21">
        <f t="shared" si="2"/>
        <v>0</v>
      </c>
      <c r="O28" s="22"/>
      <c r="P28" s="31">
        <f t="shared" si="1"/>
        <v>0</v>
      </c>
      <c r="Q28" s="24"/>
      <c r="R28" s="124">
        <f t="shared" si="0"/>
        <v>0</v>
      </c>
      <c r="S28" s="7"/>
      <c r="T28" s="144">
        <v>150</v>
      </c>
      <c r="U28" s="163">
        <f>+T28-T27+0.01</f>
        <v>30.792188122177446</v>
      </c>
      <c r="V28" s="164" t="s">
        <v>144</v>
      </c>
      <c r="W28" s="9">
        <f>150-U28</f>
        <v>119.20781187782255</v>
      </c>
    </row>
    <row r="29" spans="4:23">
      <c r="H29" s="173" t="s">
        <v>84</v>
      </c>
      <c r="I29" s="83" t="s">
        <v>21</v>
      </c>
      <c r="J29" s="84" t="s">
        <v>152</v>
      </c>
      <c r="K29" s="85"/>
      <c r="L29" s="186">
        <v>0</v>
      </c>
      <c r="M29" s="191"/>
      <c r="N29" s="89">
        <f t="shared" si="2"/>
        <v>0</v>
      </c>
      <c r="O29" s="88"/>
      <c r="P29" s="89">
        <f t="shared" si="1"/>
        <v>0</v>
      </c>
      <c r="Q29" s="90"/>
      <c r="R29" s="135">
        <f t="shared" si="0"/>
        <v>0</v>
      </c>
      <c r="S29" s="7"/>
      <c r="T29" s="26"/>
      <c r="W29" s="162"/>
    </row>
    <row r="30" spans="4:23">
      <c r="I30" s="27" t="s">
        <v>43</v>
      </c>
      <c r="J30" s="28" t="s">
        <v>73</v>
      </c>
      <c r="K30" s="18"/>
      <c r="L30" s="185">
        <v>0</v>
      </c>
      <c r="M30" s="20"/>
      <c r="N30" s="21">
        <f t="shared" si="2"/>
        <v>0</v>
      </c>
      <c r="O30" s="36">
        <v>32</v>
      </c>
      <c r="P30" s="31">
        <f t="shared" si="1"/>
        <v>150</v>
      </c>
      <c r="Q30" s="24"/>
      <c r="R30" s="124">
        <f t="shared" si="0"/>
        <v>150</v>
      </c>
      <c r="S30" s="7"/>
      <c r="T30" s="137">
        <v>946.8</v>
      </c>
      <c r="U30" s="182">
        <v>117.69</v>
      </c>
      <c r="V30" s="139">
        <v>829.11</v>
      </c>
      <c r="W30" s="160" t="s">
        <v>49</v>
      </c>
    </row>
    <row r="31" spans="4:23">
      <c r="H31" s="174" t="s">
        <v>155</v>
      </c>
      <c r="I31" s="83" t="s">
        <v>44</v>
      </c>
      <c r="J31" s="84" t="s">
        <v>45</v>
      </c>
      <c r="K31" s="85"/>
      <c r="L31" s="186">
        <f>+K31*3</f>
        <v>0</v>
      </c>
      <c r="M31" s="191">
        <v>10</v>
      </c>
      <c r="N31" s="89">
        <v>0</v>
      </c>
      <c r="O31" s="88"/>
      <c r="P31" s="89">
        <f>IF(O31&gt;25,150,(O31)*6)</f>
        <v>0</v>
      </c>
      <c r="Q31" s="90"/>
      <c r="R31" s="135">
        <f t="shared" si="0"/>
        <v>0</v>
      </c>
      <c r="S31" s="130"/>
      <c r="T31" s="140">
        <f>+U31+V31</f>
        <v>822.20212034591304</v>
      </c>
      <c r="U31" s="183">
        <f>+U30*V31/V30</f>
        <v>102.20212034591309</v>
      </c>
      <c r="V31" s="141">
        <v>720</v>
      </c>
      <c r="W31" s="162"/>
    </row>
    <row r="32" spans="4:23" s="4" customFormat="1">
      <c r="D32" s="3"/>
      <c r="F32" s="166"/>
      <c r="I32" s="113" t="s">
        <v>14</v>
      </c>
      <c r="J32" s="114" t="s">
        <v>66</v>
      </c>
      <c r="K32" s="120"/>
      <c r="L32" s="187">
        <f>+K32*3</f>
        <v>0</v>
      </c>
      <c r="M32" s="121">
        <v>13</v>
      </c>
      <c r="N32" s="21">
        <f t="shared" si="2"/>
        <v>39</v>
      </c>
      <c r="O32" s="117">
        <v>1</v>
      </c>
      <c r="P32" s="31">
        <f>IF(O32&gt;25,150,(O32)*6)</f>
        <v>6</v>
      </c>
      <c r="Q32" s="32"/>
      <c r="R32" s="126">
        <f t="shared" si="0"/>
        <v>45</v>
      </c>
      <c r="S32" s="192" t="s">
        <v>160</v>
      </c>
      <c r="T32" s="142">
        <f>+T30-T31</f>
        <v>124.59787965408691</v>
      </c>
      <c r="U32" s="183"/>
      <c r="V32" s="143"/>
      <c r="W32" s="4" t="s">
        <v>145</v>
      </c>
    </row>
    <row r="33" spans="9:23">
      <c r="I33" s="27" t="s">
        <v>15</v>
      </c>
      <c r="J33" s="28" t="s">
        <v>16</v>
      </c>
      <c r="K33" s="18"/>
      <c r="L33" s="185">
        <f>+K33*3</f>
        <v>0</v>
      </c>
      <c r="M33" s="20">
        <v>16</v>
      </c>
      <c r="N33" s="21">
        <f>5*M33</f>
        <v>80</v>
      </c>
      <c r="O33" s="36"/>
      <c r="P33" s="23">
        <f t="shared" ref="P33:P42" si="3">IF(O33&gt;25,150,(O33)*6)</f>
        <v>0</v>
      </c>
      <c r="Q33" s="24"/>
      <c r="R33" s="125">
        <f t="shared" si="0"/>
        <v>80</v>
      </c>
      <c r="S33" s="192" t="s">
        <v>160</v>
      </c>
      <c r="T33" s="144">
        <v>150</v>
      </c>
      <c r="U33" s="163">
        <f>+T33-T32</f>
        <v>25.40212034591309</v>
      </c>
      <c r="V33" s="164" t="s">
        <v>144</v>
      </c>
      <c r="W33" s="9">
        <f>150-U33</f>
        <v>124.59787965408691</v>
      </c>
    </row>
    <row r="34" spans="9:23">
      <c r="I34" s="27" t="s">
        <v>17</v>
      </c>
      <c r="J34" s="30" t="s">
        <v>119</v>
      </c>
      <c r="K34" s="35"/>
      <c r="L34" s="185"/>
      <c r="M34" s="179"/>
      <c r="N34" s="21">
        <v>0</v>
      </c>
      <c r="O34" s="36">
        <v>18</v>
      </c>
      <c r="P34" s="31">
        <f t="shared" si="3"/>
        <v>108</v>
      </c>
      <c r="Q34" s="32"/>
      <c r="R34" s="124">
        <f t="shared" si="0"/>
        <v>108</v>
      </c>
      <c r="S34" s="130"/>
      <c r="W34" s="162"/>
    </row>
    <row r="35" spans="9:23">
      <c r="I35" s="113" t="s">
        <v>75</v>
      </c>
      <c r="J35" s="114" t="s">
        <v>76</v>
      </c>
      <c r="K35" s="115"/>
      <c r="L35" s="187"/>
      <c r="M35" s="117"/>
      <c r="N35" s="116">
        <f>+M35*3</f>
        <v>0</v>
      </c>
      <c r="O35" s="117">
        <v>24</v>
      </c>
      <c r="P35" s="31">
        <f t="shared" si="3"/>
        <v>144</v>
      </c>
      <c r="Q35" s="32"/>
      <c r="R35" s="131">
        <f t="shared" si="0"/>
        <v>144</v>
      </c>
      <c r="S35" s="130"/>
      <c r="T35" s="137">
        <v>1054.8</v>
      </c>
      <c r="U35" s="182">
        <v>136.18</v>
      </c>
      <c r="V35" s="139">
        <v>918.62</v>
      </c>
      <c r="W35" s="160" t="s">
        <v>50</v>
      </c>
    </row>
    <row r="36" spans="9:23">
      <c r="I36" s="113" t="s">
        <v>146</v>
      </c>
      <c r="J36" s="114" t="s">
        <v>55</v>
      </c>
      <c r="K36" s="115"/>
      <c r="L36" s="187"/>
      <c r="M36" s="117">
        <v>10</v>
      </c>
      <c r="N36" s="116">
        <v>0</v>
      </c>
      <c r="O36" s="117"/>
      <c r="P36" s="31">
        <f t="shared" si="3"/>
        <v>0</v>
      </c>
      <c r="Q36" s="32"/>
      <c r="R36" s="131">
        <f t="shared" si="0"/>
        <v>0</v>
      </c>
      <c r="S36" s="130"/>
      <c r="T36" s="140">
        <f>+U36+V36</f>
        <v>826.73575580762451</v>
      </c>
      <c r="U36" s="183">
        <f>+U35*V36/V35</f>
        <v>106.73575580762449</v>
      </c>
      <c r="V36" s="141">
        <v>720</v>
      </c>
      <c r="W36" s="161">
        <v>788</v>
      </c>
    </row>
    <row r="37" spans="9:23">
      <c r="I37" s="113" t="s">
        <v>69</v>
      </c>
      <c r="J37" s="114" t="s">
        <v>70</v>
      </c>
      <c r="K37" s="115"/>
      <c r="L37" s="187">
        <v>0</v>
      </c>
      <c r="M37" s="117"/>
      <c r="N37" s="116">
        <f>+M37*3</f>
        <v>0</v>
      </c>
      <c r="O37" s="117">
        <v>14</v>
      </c>
      <c r="P37" s="31">
        <f t="shared" si="3"/>
        <v>84</v>
      </c>
      <c r="Q37" s="32"/>
      <c r="R37" s="131">
        <f t="shared" si="0"/>
        <v>84</v>
      </c>
      <c r="S37" s="130"/>
      <c r="T37" s="142">
        <f>+T35-T36</f>
        <v>228.06424419237544</v>
      </c>
      <c r="U37" s="183"/>
      <c r="V37" s="143"/>
      <c r="W37" s="162"/>
    </row>
    <row r="38" spans="9:23">
      <c r="I38" s="27" t="s">
        <v>91</v>
      </c>
      <c r="J38" s="30" t="s">
        <v>92</v>
      </c>
      <c r="K38" s="35"/>
      <c r="L38" s="185">
        <v>0</v>
      </c>
      <c r="M38" s="179"/>
      <c r="N38" s="21">
        <f>+M38*3</f>
        <v>0</v>
      </c>
      <c r="O38" s="36">
        <v>1</v>
      </c>
      <c r="P38" s="31">
        <f t="shared" si="3"/>
        <v>6</v>
      </c>
      <c r="Q38" s="32"/>
      <c r="R38" s="124">
        <f t="shared" si="0"/>
        <v>6</v>
      </c>
      <c r="S38" s="130"/>
      <c r="T38" s="144">
        <v>150</v>
      </c>
      <c r="U38" s="163">
        <f>+T38-T37</f>
        <v>-78.06424419237544</v>
      </c>
      <c r="V38" s="164" t="s">
        <v>144</v>
      </c>
      <c r="W38" s="165">
        <v>0.01</v>
      </c>
    </row>
    <row r="39" spans="9:23">
      <c r="I39" s="27" t="s">
        <v>93</v>
      </c>
      <c r="J39" s="28" t="s">
        <v>94</v>
      </c>
      <c r="K39" s="18"/>
      <c r="L39" s="185">
        <v>0</v>
      </c>
      <c r="M39" s="20">
        <v>11</v>
      </c>
      <c r="N39" s="21">
        <v>0</v>
      </c>
      <c r="O39" s="36"/>
      <c r="P39" s="31">
        <f t="shared" si="3"/>
        <v>0</v>
      </c>
      <c r="Q39" s="24"/>
      <c r="R39" s="124">
        <f t="shared" si="0"/>
        <v>0</v>
      </c>
      <c r="S39" s="7"/>
      <c r="W39" s="162"/>
    </row>
    <row r="40" spans="9:23">
      <c r="I40" s="27" t="s">
        <v>120</v>
      </c>
      <c r="J40" s="28" t="s">
        <v>121</v>
      </c>
      <c r="K40" s="18"/>
      <c r="L40" s="185">
        <v>0</v>
      </c>
      <c r="M40" s="20"/>
      <c r="N40" s="21">
        <v>0</v>
      </c>
      <c r="O40" s="36">
        <v>25</v>
      </c>
      <c r="P40" s="31">
        <f t="shared" si="3"/>
        <v>150</v>
      </c>
      <c r="Q40" s="24"/>
      <c r="R40" s="124">
        <f t="shared" si="0"/>
        <v>150</v>
      </c>
      <c r="S40" s="7"/>
      <c r="T40" s="137">
        <v>964.8</v>
      </c>
      <c r="U40" s="182">
        <v>113.27</v>
      </c>
      <c r="V40" s="139">
        <v>851.53</v>
      </c>
      <c r="W40" s="160" t="s">
        <v>57</v>
      </c>
    </row>
    <row r="41" spans="9:23">
      <c r="I41" s="178" t="s">
        <v>125</v>
      </c>
      <c r="J41" s="28" t="s">
        <v>126</v>
      </c>
      <c r="K41" s="18"/>
      <c r="L41" s="185">
        <v>0</v>
      </c>
      <c r="M41" s="20">
        <v>13</v>
      </c>
      <c r="N41" s="21">
        <f>3*M41</f>
        <v>39</v>
      </c>
      <c r="O41" s="179"/>
      <c r="P41" s="31">
        <f t="shared" ref="P41" si="4">IF(O41&gt;25,150,(O41)*6)</f>
        <v>0</v>
      </c>
      <c r="Q41" s="24"/>
      <c r="R41" s="125">
        <f t="shared" ref="R41" si="5">+L41+N41+P41+Q41</f>
        <v>39</v>
      </c>
      <c r="S41" s="192" t="s">
        <v>160</v>
      </c>
      <c r="T41" s="140" t="e">
        <f>+U41+V41</f>
        <v>#DIV/0!</v>
      </c>
      <c r="U41" s="183" t="e">
        <f>+U39*V41/V39</f>
        <v>#DIV/0!</v>
      </c>
      <c r="V41" s="141">
        <v>720</v>
      </c>
    </row>
    <row r="42" spans="9:23">
      <c r="I42" s="180" t="s">
        <v>158</v>
      </c>
      <c r="J42" s="50" t="s">
        <v>159</v>
      </c>
      <c r="K42" s="51"/>
      <c r="L42" s="188">
        <v>0</v>
      </c>
      <c r="M42" s="53">
        <v>11</v>
      </c>
      <c r="N42" s="52">
        <v>0</v>
      </c>
      <c r="O42" s="172"/>
      <c r="P42" s="54">
        <f t="shared" si="3"/>
        <v>0</v>
      </c>
      <c r="Q42" s="55"/>
      <c r="R42" s="132">
        <f t="shared" si="0"/>
        <v>0</v>
      </c>
      <c r="S42" s="7"/>
      <c r="T42" s="140">
        <f>+U42+V42</f>
        <v>815.77395981351219</v>
      </c>
      <c r="U42" s="183">
        <f>+U40*V42/V40</f>
        <v>95.77395981351215</v>
      </c>
      <c r="V42" s="141">
        <v>720</v>
      </c>
    </row>
    <row r="43" spans="9:23">
      <c r="I43" s="41"/>
      <c r="J43" s="42"/>
      <c r="K43" s="65">
        <f t="shared" ref="K43:Q43" si="6">SUM(K5:K42)</f>
        <v>0</v>
      </c>
      <c r="L43" s="66">
        <f t="shared" si="6"/>
        <v>0</v>
      </c>
      <c r="M43" s="56">
        <f t="shared" si="6"/>
        <v>153</v>
      </c>
      <c r="N43" s="58">
        <f t="shared" si="6"/>
        <v>375</v>
      </c>
      <c r="O43" s="56">
        <f t="shared" si="6"/>
        <v>365</v>
      </c>
      <c r="P43" s="58">
        <f t="shared" si="6"/>
        <v>1992</v>
      </c>
      <c r="Q43" s="58">
        <f t="shared" si="6"/>
        <v>0</v>
      </c>
      <c r="R43" s="57">
        <f t="shared" si="0"/>
        <v>2367</v>
      </c>
      <c r="S43" s="133"/>
      <c r="T43" s="142">
        <f>+T40-T42</f>
        <v>149.02604018648776</v>
      </c>
      <c r="U43" s="183"/>
      <c r="V43" s="143"/>
      <c r="W43" s="4" t="s">
        <v>145</v>
      </c>
    </row>
    <row r="44" spans="9:23">
      <c r="L44" s="167" t="s">
        <v>105</v>
      </c>
      <c r="M44" s="168">
        <v>245</v>
      </c>
      <c r="N44" s="167" t="s">
        <v>105</v>
      </c>
      <c r="O44" s="168">
        <f>+O45-O43</f>
        <v>0</v>
      </c>
      <c r="P44" s="168">
        <f>+P45-P43</f>
        <v>360</v>
      </c>
      <c r="Q44" s="168"/>
      <c r="R44" s="175">
        <f>+R7+R16+R25+R29</f>
        <v>36</v>
      </c>
      <c r="T44" s="144">
        <v>150</v>
      </c>
      <c r="U44" s="163">
        <f>+T44-T43</f>
        <v>0.97395981351223782</v>
      </c>
      <c r="V44" s="164" t="s">
        <v>144</v>
      </c>
      <c r="W44" s="9">
        <f>150-U44</f>
        <v>149.02604018648776</v>
      </c>
    </row>
    <row r="45" spans="9:23">
      <c r="L45" s="169"/>
      <c r="M45" s="170">
        <f>+M43-M44</f>
        <v>-92</v>
      </c>
      <c r="N45" s="171" t="s">
        <v>147</v>
      </c>
      <c r="O45" s="169">
        <v>365</v>
      </c>
      <c r="P45" s="169">
        <v>2352</v>
      </c>
      <c r="Q45" s="176" t="s">
        <v>133</v>
      </c>
      <c r="R45" s="177">
        <f>+R43-R44</f>
        <v>2331</v>
      </c>
    </row>
    <row r="48" spans="9:23">
      <c r="P48" s="67"/>
    </row>
  </sheetData>
  <mergeCells count="4">
    <mergeCell ref="I2:R2"/>
    <mergeCell ref="K3:N3"/>
    <mergeCell ref="O3:P3"/>
    <mergeCell ref="S3:T3"/>
  </mergeCells>
  <conditionalFormatting sqref="R5:R43">
    <cfRule type="cellIs" dxfId="6" priority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C1:W44"/>
  <sheetViews>
    <sheetView zoomScale="85" zoomScaleNormal="85" workbookViewId="0">
      <selection activeCell="N33" sqref="N33"/>
    </sheetView>
  </sheetViews>
  <sheetFormatPr baseColWidth="10" defaultRowHeight="15"/>
  <cols>
    <col min="1" max="1" width="5.7109375" customWidth="1"/>
    <col min="2" max="2" width="0" hidden="1" customWidth="1"/>
    <col min="3" max="3" width="20.7109375" hidden="1" customWidth="1"/>
    <col min="4" max="4" width="20.7109375" style="1" hidden="1" customWidth="1"/>
    <col min="5" max="5" width="13.28515625" hidden="1" customWidth="1"/>
    <col min="6" max="6" width="10.42578125" style="2" hidden="1" customWidth="1"/>
    <col min="7" max="7" width="25.28515625" hidden="1" customWidth="1"/>
    <col min="8" max="8" width="12.5703125" bestFit="1" customWidth="1"/>
    <col min="9" max="9" width="8.7109375" customWidth="1"/>
    <col min="10" max="10" width="24.140625" customWidth="1"/>
    <col min="11" max="11" width="8.7109375" customWidth="1"/>
    <col min="12" max="12" width="10.7109375" bestFit="1" customWidth="1"/>
    <col min="13" max="13" width="8.7109375" customWidth="1"/>
    <col min="14" max="14" width="10.28515625" bestFit="1" customWidth="1"/>
    <col min="15" max="15" width="8.7109375" customWidth="1"/>
    <col min="16" max="16" width="11.42578125" customWidth="1"/>
    <col min="17" max="17" width="11.7109375" customWidth="1"/>
    <col min="18" max="18" width="12.5703125" bestFit="1" customWidth="1"/>
    <col min="19" max="19" width="6.7109375" customWidth="1"/>
    <col min="20" max="20" width="13.28515625" bestFit="1" customWidth="1"/>
    <col min="21" max="21" width="11.5703125" bestFit="1" customWidth="1"/>
    <col min="22" max="22" width="17.140625" bestFit="1" customWidth="1"/>
    <col min="23" max="23" width="20.7109375" customWidth="1"/>
    <col min="24" max="24" width="14.7109375" customWidth="1"/>
    <col min="25" max="25" width="16.28515625" bestFit="1" customWidth="1"/>
    <col min="27" max="27" width="18.7109375" bestFit="1" customWidth="1"/>
  </cols>
  <sheetData>
    <row r="1" spans="8:23" ht="5.0999999999999996" customHeight="1"/>
    <row r="2" spans="8:23">
      <c r="I2" s="418" t="s">
        <v>148</v>
      </c>
      <c r="J2" s="418"/>
      <c r="K2" s="418"/>
      <c r="L2" s="418"/>
      <c r="M2" s="418"/>
      <c r="N2" s="418"/>
      <c r="O2" s="418"/>
      <c r="P2" s="418"/>
      <c r="Q2" s="418"/>
      <c r="R2" s="418"/>
      <c r="T2" s="43"/>
    </row>
    <row r="3" spans="8:23">
      <c r="I3" s="11"/>
      <c r="J3" s="11"/>
      <c r="K3" s="419" t="s">
        <v>58</v>
      </c>
      <c r="L3" s="420"/>
      <c r="M3" s="420"/>
      <c r="N3" s="421"/>
      <c r="O3" s="420" t="s">
        <v>59</v>
      </c>
      <c r="P3" s="421"/>
      <c r="Q3" s="11"/>
      <c r="R3" s="11"/>
      <c r="T3" s="426">
        <f ca="1">+TODAY()</f>
        <v>43292</v>
      </c>
      <c r="U3" s="427"/>
    </row>
    <row r="4" spans="8:23" ht="40.5">
      <c r="I4" s="12" t="s">
        <v>11</v>
      </c>
      <c r="J4" s="12" t="s">
        <v>3</v>
      </c>
      <c r="K4" s="64" t="s">
        <v>23</v>
      </c>
      <c r="L4" s="64" t="s">
        <v>77</v>
      </c>
      <c r="M4" s="64" t="s">
        <v>23</v>
      </c>
      <c r="N4" s="64" t="s">
        <v>149</v>
      </c>
      <c r="O4" s="13" t="s">
        <v>23</v>
      </c>
      <c r="P4" s="13" t="s">
        <v>150</v>
      </c>
      <c r="Q4" s="13" t="s">
        <v>151</v>
      </c>
      <c r="R4" s="14" t="s">
        <v>60</v>
      </c>
      <c r="S4" s="7"/>
    </row>
    <row r="5" spans="8:23">
      <c r="I5" s="16" t="s">
        <v>61</v>
      </c>
      <c r="J5" s="17" t="s">
        <v>62</v>
      </c>
      <c r="K5" s="18"/>
      <c r="L5" s="19">
        <f>+K5*3</f>
        <v>0</v>
      </c>
      <c r="M5" s="20"/>
      <c r="N5" s="21">
        <v>0</v>
      </c>
      <c r="O5" s="22"/>
      <c r="P5" s="23"/>
      <c r="Q5" s="24"/>
      <c r="R5" s="134">
        <f>+L5+N5+P5+Q5</f>
        <v>0</v>
      </c>
      <c r="S5" s="7"/>
      <c r="T5" s="137">
        <v>1000.8</v>
      </c>
      <c r="U5" s="138">
        <v>130.1</v>
      </c>
      <c r="V5" s="139">
        <v>870.7</v>
      </c>
      <c r="W5" s="160" t="s">
        <v>143</v>
      </c>
    </row>
    <row r="6" spans="8:23">
      <c r="I6" s="27" t="s">
        <v>4</v>
      </c>
      <c r="J6" s="28" t="s">
        <v>12</v>
      </c>
      <c r="K6" s="18"/>
      <c r="L6" s="21">
        <f>+K6*3</f>
        <v>0</v>
      </c>
      <c r="M6" s="20"/>
      <c r="N6" s="21">
        <v>0</v>
      </c>
      <c r="O6" s="22"/>
      <c r="P6" s="23"/>
      <c r="Q6" s="24"/>
      <c r="R6" s="124">
        <f t="shared" ref="R6:R42" si="0">+L6+N6+P6+Q6</f>
        <v>0</v>
      </c>
      <c r="S6" s="7"/>
      <c r="T6" s="140">
        <f>+U6+V6</f>
        <v>827.58240496152519</v>
      </c>
      <c r="U6" s="5">
        <f>+U5*V6/V5</f>
        <v>107.5824049615252</v>
      </c>
      <c r="V6" s="141">
        <v>720</v>
      </c>
      <c r="W6" s="161">
        <v>740.02</v>
      </c>
    </row>
    <row r="7" spans="8:23">
      <c r="H7" s="174" t="s">
        <v>153</v>
      </c>
      <c r="I7" s="83" t="s">
        <v>1</v>
      </c>
      <c r="J7" s="84" t="s">
        <v>56</v>
      </c>
      <c r="K7" s="85"/>
      <c r="L7" s="86">
        <f>+K7*3</f>
        <v>0</v>
      </c>
      <c r="M7" s="87"/>
      <c r="N7" s="86">
        <v>0</v>
      </c>
      <c r="O7" s="88">
        <v>21</v>
      </c>
      <c r="P7" s="89">
        <f>IF(O7&gt;25,150,(O7)*6)</f>
        <v>126</v>
      </c>
      <c r="Q7" s="90"/>
      <c r="R7" s="135">
        <f t="shared" si="0"/>
        <v>126</v>
      </c>
      <c r="S7" s="7"/>
      <c r="T7" s="142">
        <f>+T5-T6</f>
        <v>173.21759503847477</v>
      </c>
      <c r="U7" s="5"/>
      <c r="V7" s="143"/>
      <c r="W7" s="162"/>
    </row>
    <row r="8" spans="8:23">
      <c r="I8" s="113" t="s">
        <v>2</v>
      </c>
      <c r="J8" s="114" t="s">
        <v>47</v>
      </c>
      <c r="K8" s="115"/>
      <c r="L8" s="116"/>
      <c r="M8" s="117"/>
      <c r="N8" s="21">
        <f>+M8*3</f>
        <v>0</v>
      </c>
      <c r="O8" s="117"/>
      <c r="P8" s="31">
        <f>IF(O8&gt;25,150,(O8)*6)</f>
        <v>0</v>
      </c>
      <c r="Q8" s="32"/>
      <c r="R8" s="131">
        <f t="shared" si="0"/>
        <v>0</v>
      </c>
      <c r="S8" s="7"/>
      <c r="T8" s="144">
        <v>150</v>
      </c>
      <c r="U8" s="163">
        <f>+T8-T7</f>
        <v>-23.217595038474769</v>
      </c>
      <c r="V8" s="164" t="s">
        <v>144</v>
      </c>
      <c r="W8" s="165">
        <v>0.01</v>
      </c>
    </row>
    <row r="9" spans="8:23">
      <c r="I9" s="27" t="s">
        <v>0</v>
      </c>
      <c r="J9" s="28" t="s">
        <v>7</v>
      </c>
      <c r="K9" s="18"/>
      <c r="L9" s="21">
        <f>+K9*5</f>
        <v>0</v>
      </c>
      <c r="M9" s="20"/>
      <c r="N9" s="21">
        <f>5*M9</f>
        <v>0</v>
      </c>
      <c r="O9" s="22"/>
      <c r="P9" s="23">
        <v>0</v>
      </c>
      <c r="Q9" s="24"/>
      <c r="R9" s="124">
        <f t="shared" si="0"/>
        <v>0</v>
      </c>
      <c r="S9" s="7"/>
      <c r="T9" s="26"/>
      <c r="W9" s="162"/>
    </row>
    <row r="10" spans="8:23">
      <c r="I10" s="27" t="s">
        <v>5</v>
      </c>
      <c r="J10" s="30" t="s">
        <v>71</v>
      </c>
      <c r="K10" s="18"/>
      <c r="L10" s="21">
        <f>+K10*3</f>
        <v>0</v>
      </c>
      <c r="M10" s="36"/>
      <c r="N10" s="21">
        <f>+M10*5</f>
        <v>0</v>
      </c>
      <c r="O10" s="36">
        <v>31</v>
      </c>
      <c r="P10" s="31">
        <f t="shared" ref="P10:P30" si="1">IF(O10&gt;25,150,(O10)*6)</f>
        <v>150</v>
      </c>
      <c r="Q10" s="32"/>
      <c r="R10" s="131">
        <f t="shared" si="0"/>
        <v>150</v>
      </c>
      <c r="S10" s="7"/>
      <c r="T10" s="137">
        <v>838.8</v>
      </c>
      <c r="U10" s="138">
        <v>108.71</v>
      </c>
      <c r="V10" s="139">
        <v>730.09</v>
      </c>
      <c r="W10" s="160" t="s">
        <v>52</v>
      </c>
    </row>
    <row r="11" spans="8:23">
      <c r="I11" s="27" t="s">
        <v>27</v>
      </c>
      <c r="J11" s="30" t="s">
        <v>28</v>
      </c>
      <c r="K11" s="18"/>
      <c r="L11" s="21">
        <v>0</v>
      </c>
      <c r="M11" s="36"/>
      <c r="N11" s="21">
        <v>0</v>
      </c>
      <c r="O11" s="36"/>
      <c r="P11" s="31">
        <f t="shared" si="1"/>
        <v>0</v>
      </c>
      <c r="Q11" s="32"/>
      <c r="R11" s="131">
        <f t="shared" si="0"/>
        <v>0</v>
      </c>
      <c r="S11" s="7"/>
      <c r="T11" s="140">
        <f>+U11+V11</f>
        <v>827.20760454190577</v>
      </c>
      <c r="U11" s="5">
        <f>+U10*V11/V10</f>
        <v>107.20760454190578</v>
      </c>
      <c r="V11" s="141">
        <v>720</v>
      </c>
      <c r="W11" s="162"/>
    </row>
    <row r="12" spans="8:23">
      <c r="I12" s="27" t="s">
        <v>8</v>
      </c>
      <c r="J12" s="30" t="s">
        <v>29</v>
      </c>
      <c r="K12" s="35"/>
      <c r="L12" s="21"/>
      <c r="M12" s="36"/>
      <c r="N12" s="21">
        <v>0</v>
      </c>
      <c r="O12" s="36">
        <v>33</v>
      </c>
      <c r="P12" s="31">
        <f t="shared" si="1"/>
        <v>150</v>
      </c>
      <c r="Q12" s="32"/>
      <c r="R12" s="131">
        <f t="shared" si="0"/>
        <v>150</v>
      </c>
      <c r="S12" s="7"/>
      <c r="T12" s="142">
        <f>+T10-T11</f>
        <v>11.592395458094188</v>
      </c>
      <c r="U12" s="5"/>
      <c r="V12" s="143"/>
      <c r="W12" s="4" t="s">
        <v>145</v>
      </c>
    </row>
    <row r="13" spans="8:23">
      <c r="I13" s="27" t="s">
        <v>63</v>
      </c>
      <c r="J13" s="30" t="s">
        <v>33</v>
      </c>
      <c r="K13" s="35"/>
      <c r="L13" s="21"/>
      <c r="M13" s="36"/>
      <c r="N13" s="21">
        <f>+M13*3</f>
        <v>0</v>
      </c>
      <c r="O13" s="36">
        <v>29</v>
      </c>
      <c r="P13" s="31">
        <f t="shared" si="1"/>
        <v>150</v>
      </c>
      <c r="Q13" s="32"/>
      <c r="R13" s="131">
        <f t="shared" si="0"/>
        <v>150</v>
      </c>
      <c r="S13" s="7"/>
      <c r="T13" s="144">
        <v>150</v>
      </c>
      <c r="U13" s="163">
        <f>+T13-T12</f>
        <v>138.40760454190581</v>
      </c>
      <c r="V13" s="164" t="s">
        <v>144</v>
      </c>
      <c r="W13" s="9">
        <f>150-U13</f>
        <v>11.592395458094188</v>
      </c>
    </row>
    <row r="14" spans="8:23">
      <c r="I14" s="27" t="s">
        <v>24</v>
      </c>
      <c r="J14" s="30" t="s">
        <v>30</v>
      </c>
      <c r="K14" s="18"/>
      <c r="L14" s="21">
        <v>0</v>
      </c>
      <c r="M14" s="20"/>
      <c r="N14" s="21">
        <f>+M14*3</f>
        <v>0</v>
      </c>
      <c r="O14" s="36">
        <v>24</v>
      </c>
      <c r="P14" s="31">
        <f t="shared" si="1"/>
        <v>144</v>
      </c>
      <c r="Q14" s="32"/>
      <c r="R14" s="124">
        <f t="shared" si="0"/>
        <v>144</v>
      </c>
      <c r="S14" s="7"/>
      <c r="T14" s="26"/>
      <c r="W14" s="162"/>
    </row>
    <row r="15" spans="8:23">
      <c r="I15" s="27" t="s">
        <v>18</v>
      </c>
      <c r="J15" s="28" t="s">
        <v>72</v>
      </c>
      <c r="K15" s="18"/>
      <c r="L15" s="21">
        <f>+K15*3</f>
        <v>0</v>
      </c>
      <c r="M15" s="20"/>
      <c r="N15" s="21">
        <f>+M15*3</f>
        <v>0</v>
      </c>
      <c r="O15" s="36"/>
      <c r="P15" s="31">
        <f t="shared" si="1"/>
        <v>0</v>
      </c>
      <c r="Q15" s="24"/>
      <c r="R15" s="124">
        <f t="shared" si="0"/>
        <v>0</v>
      </c>
      <c r="S15" s="7"/>
      <c r="T15" s="137">
        <v>964.8</v>
      </c>
      <c r="U15" s="138">
        <v>125.42</v>
      </c>
      <c r="V15" s="139">
        <v>839.38</v>
      </c>
      <c r="W15" s="160" t="s">
        <v>53</v>
      </c>
    </row>
    <row r="16" spans="8:23">
      <c r="H16" s="173" t="s">
        <v>84</v>
      </c>
      <c r="I16" s="83" t="s">
        <v>6</v>
      </c>
      <c r="J16" s="84" t="s">
        <v>99</v>
      </c>
      <c r="K16" s="85"/>
      <c r="L16" s="86">
        <f>+K16*3</f>
        <v>0</v>
      </c>
      <c r="M16" s="87"/>
      <c r="N16" s="86">
        <f t="shared" ref="N16:N33" si="2">+M16*3</f>
        <v>0</v>
      </c>
      <c r="O16" s="88"/>
      <c r="P16" s="89">
        <f t="shared" si="1"/>
        <v>0</v>
      </c>
      <c r="Q16" s="90"/>
      <c r="R16" s="135">
        <f t="shared" si="0"/>
        <v>0</v>
      </c>
      <c r="S16" s="7"/>
      <c r="T16" s="140">
        <f>+U16+V16</f>
        <v>827.58226309895394</v>
      </c>
      <c r="U16" s="5">
        <f>+U15*V16/V15</f>
        <v>107.58226309895399</v>
      </c>
      <c r="V16" s="141">
        <v>720</v>
      </c>
      <c r="W16" s="162"/>
    </row>
    <row r="17" spans="4:23">
      <c r="I17" s="27" t="s">
        <v>31</v>
      </c>
      <c r="J17" s="30" t="s">
        <v>32</v>
      </c>
      <c r="K17" s="35"/>
      <c r="L17" s="21"/>
      <c r="M17" s="36"/>
      <c r="N17" s="21">
        <f t="shared" si="2"/>
        <v>0</v>
      </c>
      <c r="O17" s="36">
        <v>33</v>
      </c>
      <c r="P17" s="31">
        <f t="shared" si="1"/>
        <v>150</v>
      </c>
      <c r="Q17" s="32"/>
      <c r="R17" s="124">
        <f t="shared" si="0"/>
        <v>150</v>
      </c>
      <c r="S17" s="7"/>
      <c r="T17" s="142">
        <f>+T15-T16</f>
        <v>137.21773690104601</v>
      </c>
      <c r="U17" s="5"/>
      <c r="V17" s="143"/>
      <c r="W17" s="4" t="s">
        <v>145</v>
      </c>
    </row>
    <row r="18" spans="4:23">
      <c r="I18" s="27" t="s">
        <v>54</v>
      </c>
      <c r="J18" s="30" t="s">
        <v>55</v>
      </c>
      <c r="K18" s="18"/>
      <c r="L18" s="21">
        <f>+K18*3</f>
        <v>0</v>
      </c>
      <c r="M18" s="20"/>
      <c r="N18" s="21">
        <f t="shared" si="2"/>
        <v>0</v>
      </c>
      <c r="O18" s="36"/>
      <c r="P18" s="31">
        <f t="shared" si="1"/>
        <v>0</v>
      </c>
      <c r="Q18" s="32"/>
      <c r="R18" s="124">
        <f t="shared" si="0"/>
        <v>0</v>
      </c>
      <c r="S18" s="7"/>
      <c r="T18" s="144">
        <v>150</v>
      </c>
      <c r="U18" s="163">
        <f>+T18-T17+0.01</f>
        <v>12.79226309895399</v>
      </c>
      <c r="V18" s="164" t="s">
        <v>144</v>
      </c>
      <c r="W18" s="9">
        <f>150-U18</f>
        <v>137.20773690104602</v>
      </c>
    </row>
    <row r="19" spans="4:23">
      <c r="I19" s="113" t="s">
        <v>10</v>
      </c>
      <c r="J19" s="114" t="s">
        <v>34</v>
      </c>
      <c r="K19" s="115"/>
      <c r="L19" s="116"/>
      <c r="M19" s="117"/>
      <c r="N19" s="116">
        <f t="shared" si="2"/>
        <v>0</v>
      </c>
      <c r="O19" s="117"/>
      <c r="P19" s="31">
        <f t="shared" si="1"/>
        <v>0</v>
      </c>
      <c r="Q19" s="32"/>
      <c r="R19" s="131">
        <f t="shared" si="0"/>
        <v>0</v>
      </c>
      <c r="S19" s="7"/>
      <c r="T19" s="26"/>
      <c r="W19" s="162"/>
    </row>
    <row r="20" spans="4:23">
      <c r="I20" s="113" t="s">
        <v>9</v>
      </c>
      <c r="J20" s="114" t="s">
        <v>35</v>
      </c>
      <c r="K20" s="115"/>
      <c r="L20" s="116"/>
      <c r="M20" s="117"/>
      <c r="N20" s="116">
        <f t="shared" si="2"/>
        <v>0</v>
      </c>
      <c r="O20" s="117">
        <v>8</v>
      </c>
      <c r="P20" s="31">
        <f t="shared" si="1"/>
        <v>48</v>
      </c>
      <c r="Q20" s="32"/>
      <c r="R20" s="131">
        <f t="shared" si="0"/>
        <v>48</v>
      </c>
      <c r="S20" s="7"/>
      <c r="T20" s="137">
        <v>1000.8</v>
      </c>
      <c r="U20" s="138">
        <v>130.1</v>
      </c>
      <c r="V20" s="139">
        <v>870.7</v>
      </c>
      <c r="W20" s="160" t="s">
        <v>74</v>
      </c>
    </row>
    <row r="21" spans="4:23">
      <c r="I21" s="27" t="s">
        <v>36</v>
      </c>
      <c r="J21" s="30" t="s">
        <v>37</v>
      </c>
      <c r="K21" s="35"/>
      <c r="L21" s="21"/>
      <c r="M21" s="36"/>
      <c r="N21" s="21">
        <f t="shared" si="2"/>
        <v>0</v>
      </c>
      <c r="O21" s="36">
        <v>22</v>
      </c>
      <c r="P21" s="31">
        <f t="shared" si="1"/>
        <v>132</v>
      </c>
      <c r="Q21" s="32"/>
      <c r="R21" s="124">
        <f t="shared" si="0"/>
        <v>132</v>
      </c>
      <c r="S21" s="7"/>
      <c r="T21" s="140">
        <f>+U21+V21</f>
        <v>827.58240496152519</v>
      </c>
      <c r="U21" s="5">
        <f>+U20*V21/V20</f>
        <v>107.5824049615252</v>
      </c>
      <c r="V21" s="141">
        <v>720</v>
      </c>
      <c r="W21" s="161">
        <v>740.02</v>
      </c>
    </row>
    <row r="22" spans="4:23">
      <c r="I22" s="27" t="s">
        <v>64</v>
      </c>
      <c r="J22" s="30" t="s">
        <v>65</v>
      </c>
      <c r="K22" s="35"/>
      <c r="L22" s="21"/>
      <c r="M22" s="36"/>
      <c r="N22" s="21">
        <v>0</v>
      </c>
      <c r="O22" s="36"/>
      <c r="P22" s="31">
        <f t="shared" si="1"/>
        <v>0</v>
      </c>
      <c r="Q22" s="32"/>
      <c r="R22" s="124">
        <f t="shared" si="0"/>
        <v>0</v>
      </c>
      <c r="S22" s="7"/>
      <c r="T22" s="142">
        <f>+T20-T21</f>
        <v>173.21759503847477</v>
      </c>
      <c r="U22" s="5"/>
      <c r="V22" s="143"/>
      <c r="W22" s="162"/>
    </row>
    <row r="23" spans="4:23">
      <c r="I23" s="27" t="s">
        <v>13</v>
      </c>
      <c r="J23" s="30" t="s">
        <v>38</v>
      </c>
      <c r="K23" s="35"/>
      <c r="L23" s="21"/>
      <c r="M23" s="36"/>
      <c r="N23" s="21">
        <f t="shared" si="2"/>
        <v>0</v>
      </c>
      <c r="O23" s="36">
        <v>31</v>
      </c>
      <c r="P23" s="31">
        <f t="shared" si="1"/>
        <v>150</v>
      </c>
      <c r="Q23" s="32"/>
      <c r="R23" s="124">
        <f t="shared" si="0"/>
        <v>150</v>
      </c>
      <c r="S23" s="7"/>
      <c r="T23" s="144">
        <v>150</v>
      </c>
      <c r="U23" s="163">
        <f>+T23-T22</f>
        <v>-23.217595038474769</v>
      </c>
      <c r="V23" s="164" t="s">
        <v>144</v>
      </c>
      <c r="W23" s="165">
        <v>0.01</v>
      </c>
    </row>
    <row r="24" spans="4:23">
      <c r="I24" s="27" t="s">
        <v>39</v>
      </c>
      <c r="J24" s="30" t="s">
        <v>40</v>
      </c>
      <c r="K24" s="35"/>
      <c r="L24" s="21"/>
      <c r="M24" s="36"/>
      <c r="N24" s="21">
        <f t="shared" si="2"/>
        <v>0</v>
      </c>
      <c r="O24" s="36"/>
      <c r="P24" s="31">
        <f t="shared" si="1"/>
        <v>0</v>
      </c>
      <c r="Q24" s="32"/>
      <c r="R24" s="124">
        <f t="shared" si="0"/>
        <v>0</v>
      </c>
      <c r="S24" s="7"/>
      <c r="T24" s="26"/>
      <c r="W24" s="162"/>
    </row>
    <row r="25" spans="4:23">
      <c r="H25" s="173" t="s">
        <v>84</v>
      </c>
      <c r="I25" s="83" t="s">
        <v>19</v>
      </c>
      <c r="J25" s="84" t="s">
        <v>20</v>
      </c>
      <c r="K25" s="85"/>
      <c r="L25" s="86">
        <f>+K25*3</f>
        <v>0</v>
      </c>
      <c r="M25" s="87"/>
      <c r="N25" s="86">
        <f t="shared" si="2"/>
        <v>0</v>
      </c>
      <c r="O25" s="88"/>
      <c r="P25" s="89">
        <f t="shared" si="1"/>
        <v>0</v>
      </c>
      <c r="Q25" s="90"/>
      <c r="R25" s="135">
        <f t="shared" si="0"/>
        <v>0</v>
      </c>
      <c r="S25" s="7"/>
      <c r="T25" s="137">
        <v>946.8</v>
      </c>
      <c r="U25" s="138">
        <v>123.08</v>
      </c>
      <c r="V25" s="139">
        <v>823.72</v>
      </c>
      <c r="W25" s="160" t="s">
        <v>51</v>
      </c>
    </row>
    <row r="26" spans="4:23">
      <c r="I26" s="27" t="s">
        <v>41</v>
      </c>
      <c r="J26" s="30" t="s">
        <v>42</v>
      </c>
      <c r="K26" s="35"/>
      <c r="L26" s="21"/>
      <c r="M26" s="36"/>
      <c r="N26" s="21">
        <f t="shared" si="2"/>
        <v>0</v>
      </c>
      <c r="O26" s="36">
        <v>43</v>
      </c>
      <c r="P26" s="31">
        <f t="shared" si="1"/>
        <v>150</v>
      </c>
      <c r="Q26" s="32"/>
      <c r="R26" s="124">
        <f t="shared" si="0"/>
        <v>150</v>
      </c>
      <c r="S26" s="7"/>
      <c r="T26" s="140">
        <f>+U26+V26</f>
        <v>827.5821881221774</v>
      </c>
      <c r="U26" s="5">
        <f>+U25*V26/V25</f>
        <v>107.58218812217744</v>
      </c>
      <c r="V26" s="141">
        <v>720</v>
      </c>
      <c r="W26" s="162"/>
    </row>
    <row r="27" spans="4:23">
      <c r="I27" s="27" t="s">
        <v>26</v>
      </c>
      <c r="J27" s="30" t="s">
        <v>48</v>
      </c>
      <c r="K27" s="18"/>
      <c r="L27" s="21">
        <v>0</v>
      </c>
      <c r="M27" s="20"/>
      <c r="N27" s="21">
        <f t="shared" si="2"/>
        <v>0</v>
      </c>
      <c r="O27" s="36">
        <v>6</v>
      </c>
      <c r="P27" s="31">
        <f t="shared" si="1"/>
        <v>36</v>
      </c>
      <c r="Q27" s="32"/>
      <c r="R27" s="124">
        <f t="shared" si="0"/>
        <v>36</v>
      </c>
      <c r="S27" s="7"/>
      <c r="T27" s="142">
        <f>+T25-T26</f>
        <v>119.21781187782256</v>
      </c>
      <c r="U27" s="5"/>
      <c r="V27" s="143"/>
      <c r="W27" s="4" t="s">
        <v>145</v>
      </c>
    </row>
    <row r="28" spans="4:23">
      <c r="I28" s="27" t="s">
        <v>67</v>
      </c>
      <c r="J28" s="28" t="s">
        <v>68</v>
      </c>
      <c r="K28" s="18"/>
      <c r="L28" s="21">
        <v>0</v>
      </c>
      <c r="M28" s="20"/>
      <c r="N28" s="21">
        <f t="shared" si="2"/>
        <v>0</v>
      </c>
      <c r="O28" s="22"/>
      <c r="P28" s="31">
        <f t="shared" si="1"/>
        <v>0</v>
      </c>
      <c r="Q28" s="24"/>
      <c r="R28" s="124">
        <f t="shared" si="0"/>
        <v>0</v>
      </c>
      <c r="S28" s="7"/>
      <c r="T28" s="144">
        <v>150</v>
      </c>
      <c r="U28" s="163">
        <f>+T28-T27+0.01</f>
        <v>30.792188122177446</v>
      </c>
      <c r="V28" s="164" t="s">
        <v>144</v>
      </c>
      <c r="W28" s="9">
        <f>150-U28</f>
        <v>119.20781187782255</v>
      </c>
    </row>
    <row r="29" spans="4:23">
      <c r="H29" s="173" t="s">
        <v>84</v>
      </c>
      <c r="I29" s="83" t="s">
        <v>21</v>
      </c>
      <c r="J29" s="84" t="s">
        <v>152</v>
      </c>
      <c r="K29" s="85"/>
      <c r="L29" s="86">
        <v>0</v>
      </c>
      <c r="M29" s="87"/>
      <c r="N29" s="86">
        <f t="shared" si="2"/>
        <v>0</v>
      </c>
      <c r="O29" s="88">
        <v>1</v>
      </c>
      <c r="P29" s="89">
        <f t="shared" si="1"/>
        <v>6</v>
      </c>
      <c r="Q29" s="90"/>
      <c r="R29" s="135">
        <f t="shared" si="0"/>
        <v>6</v>
      </c>
      <c r="S29" s="7"/>
      <c r="T29" s="26"/>
      <c r="W29" s="162"/>
    </row>
    <row r="30" spans="4:23">
      <c r="I30" s="27" t="s">
        <v>43</v>
      </c>
      <c r="J30" s="28" t="s">
        <v>73</v>
      </c>
      <c r="K30" s="18"/>
      <c r="L30" s="21">
        <v>0</v>
      </c>
      <c r="M30" s="20"/>
      <c r="N30" s="21">
        <f t="shared" si="2"/>
        <v>0</v>
      </c>
      <c r="O30" s="36">
        <v>30</v>
      </c>
      <c r="P30" s="31">
        <f t="shared" si="1"/>
        <v>150</v>
      </c>
      <c r="Q30" s="24"/>
      <c r="R30" s="124">
        <f t="shared" si="0"/>
        <v>150</v>
      </c>
      <c r="S30" s="7"/>
      <c r="T30" s="137">
        <v>946.8</v>
      </c>
      <c r="U30" s="138">
        <v>117.69</v>
      </c>
      <c r="V30" s="139">
        <v>829.11</v>
      </c>
      <c r="W30" s="160" t="s">
        <v>49</v>
      </c>
    </row>
    <row r="31" spans="4:23">
      <c r="I31" s="27" t="s">
        <v>44</v>
      </c>
      <c r="J31" s="30" t="s">
        <v>45</v>
      </c>
      <c r="K31" s="27"/>
      <c r="L31" s="21">
        <f>+K31*3</f>
        <v>0</v>
      </c>
      <c r="M31" s="36"/>
      <c r="N31" s="21">
        <f t="shared" si="2"/>
        <v>0</v>
      </c>
      <c r="O31" s="36"/>
      <c r="P31" s="31">
        <f>IF(O31&gt;25,150,(O31)*6)</f>
        <v>0</v>
      </c>
      <c r="Q31" s="32"/>
      <c r="R31" s="124">
        <f t="shared" si="0"/>
        <v>0</v>
      </c>
      <c r="S31" s="130"/>
      <c r="T31" s="140">
        <f>+U31+V31</f>
        <v>822.20212034591304</v>
      </c>
      <c r="U31" s="5">
        <f>+U30*V31/V30</f>
        <v>102.20212034591309</v>
      </c>
      <c r="V31" s="141">
        <v>720</v>
      </c>
      <c r="W31" s="162"/>
    </row>
    <row r="32" spans="4:23" s="4" customFormat="1">
      <c r="D32" s="3"/>
      <c r="F32" s="166"/>
      <c r="I32" s="113" t="s">
        <v>14</v>
      </c>
      <c r="J32" s="114" t="s">
        <v>66</v>
      </c>
      <c r="K32" s="120"/>
      <c r="L32" s="116">
        <f>+K32*3</f>
        <v>0</v>
      </c>
      <c r="M32" s="121"/>
      <c r="N32" s="21">
        <f t="shared" si="2"/>
        <v>0</v>
      </c>
      <c r="O32" s="117">
        <v>32</v>
      </c>
      <c r="P32" s="31">
        <f>IF(O32&gt;25,150,(O32)*6)</f>
        <v>150</v>
      </c>
      <c r="Q32" s="32"/>
      <c r="R32" s="131">
        <f t="shared" si="0"/>
        <v>150</v>
      </c>
      <c r="S32" s="10"/>
      <c r="T32" s="142">
        <f>+T30-T31</f>
        <v>124.59787965408691</v>
      </c>
      <c r="U32" s="5"/>
      <c r="V32" s="143"/>
      <c r="W32" s="4" t="s">
        <v>145</v>
      </c>
    </row>
    <row r="33" spans="9:23">
      <c r="I33" s="27" t="s">
        <v>15</v>
      </c>
      <c r="J33" s="28" t="s">
        <v>16</v>
      </c>
      <c r="K33" s="18"/>
      <c r="L33" s="21">
        <f>+K33*3</f>
        <v>0</v>
      </c>
      <c r="M33" s="20"/>
      <c r="N33" s="21">
        <f t="shared" si="2"/>
        <v>0</v>
      </c>
      <c r="O33" s="36"/>
      <c r="P33" s="23">
        <f t="shared" ref="P33:P41" si="3">IF(O33&gt;25,150,(O33)*6)</f>
        <v>0</v>
      </c>
      <c r="Q33" s="24"/>
      <c r="R33" s="124">
        <f t="shared" si="0"/>
        <v>0</v>
      </c>
      <c r="S33" s="130"/>
      <c r="T33" s="144">
        <v>150</v>
      </c>
      <c r="U33" s="163">
        <f>+T33-T32</f>
        <v>25.40212034591309</v>
      </c>
      <c r="V33" s="164" t="s">
        <v>144</v>
      </c>
      <c r="W33" s="9">
        <f>150-U33</f>
        <v>124.59787965408691</v>
      </c>
    </row>
    <row r="34" spans="9:23">
      <c r="I34" s="27" t="s">
        <v>17</v>
      </c>
      <c r="J34" s="30" t="s">
        <v>119</v>
      </c>
      <c r="K34" s="35"/>
      <c r="L34" s="21"/>
      <c r="M34" s="36"/>
      <c r="N34" s="21">
        <v>0</v>
      </c>
      <c r="O34" s="36">
        <v>22</v>
      </c>
      <c r="P34" s="31">
        <f t="shared" si="3"/>
        <v>132</v>
      </c>
      <c r="Q34" s="32"/>
      <c r="R34" s="124">
        <f t="shared" si="0"/>
        <v>132</v>
      </c>
      <c r="S34" s="130"/>
      <c r="W34" s="162"/>
    </row>
    <row r="35" spans="9:23">
      <c r="I35" s="113" t="s">
        <v>75</v>
      </c>
      <c r="J35" s="114" t="s">
        <v>76</v>
      </c>
      <c r="K35" s="115"/>
      <c r="L35" s="116"/>
      <c r="M35" s="117"/>
      <c r="N35" s="116">
        <f>+M35*3</f>
        <v>0</v>
      </c>
      <c r="O35" s="117">
        <v>25</v>
      </c>
      <c r="P35" s="31">
        <f t="shared" si="3"/>
        <v>150</v>
      </c>
      <c r="Q35" s="32"/>
      <c r="R35" s="131">
        <f t="shared" si="0"/>
        <v>150</v>
      </c>
      <c r="S35" s="130"/>
      <c r="T35" s="137">
        <v>1054.8</v>
      </c>
      <c r="U35" s="138">
        <v>136.18</v>
      </c>
      <c r="V35" s="139">
        <v>918.62</v>
      </c>
      <c r="W35" s="160" t="s">
        <v>50</v>
      </c>
    </row>
    <row r="36" spans="9:23">
      <c r="I36" s="113" t="s">
        <v>146</v>
      </c>
      <c r="J36" s="114" t="s">
        <v>55</v>
      </c>
      <c r="K36" s="115"/>
      <c r="L36" s="116"/>
      <c r="M36" s="117"/>
      <c r="N36" s="116">
        <v>0</v>
      </c>
      <c r="O36" s="117"/>
      <c r="P36" s="31">
        <f t="shared" si="3"/>
        <v>0</v>
      </c>
      <c r="Q36" s="32"/>
      <c r="R36" s="131">
        <f t="shared" si="0"/>
        <v>0</v>
      </c>
      <c r="S36" s="130"/>
      <c r="T36" s="140">
        <f>+U36+V36</f>
        <v>826.73575580762451</v>
      </c>
      <c r="U36" s="5">
        <f>+U35*V36/V35</f>
        <v>106.73575580762449</v>
      </c>
      <c r="V36" s="141">
        <v>720</v>
      </c>
      <c r="W36" s="161">
        <v>788</v>
      </c>
    </row>
    <row r="37" spans="9:23">
      <c r="I37" s="113" t="s">
        <v>69</v>
      </c>
      <c r="J37" s="114" t="s">
        <v>70</v>
      </c>
      <c r="K37" s="115"/>
      <c r="L37" s="116">
        <v>0</v>
      </c>
      <c r="M37" s="117"/>
      <c r="N37" s="116">
        <f>+M37*3</f>
        <v>0</v>
      </c>
      <c r="O37" s="117">
        <v>33</v>
      </c>
      <c r="P37" s="31">
        <f t="shared" si="3"/>
        <v>150</v>
      </c>
      <c r="Q37" s="32"/>
      <c r="R37" s="131">
        <f t="shared" si="0"/>
        <v>150</v>
      </c>
      <c r="S37" s="130"/>
      <c r="T37" s="142">
        <f>+T35-T36</f>
        <v>228.06424419237544</v>
      </c>
      <c r="U37" s="5"/>
      <c r="V37" s="143"/>
      <c r="W37" s="162"/>
    </row>
    <row r="38" spans="9:23">
      <c r="I38" s="27" t="s">
        <v>91</v>
      </c>
      <c r="J38" s="30" t="s">
        <v>92</v>
      </c>
      <c r="K38" s="35"/>
      <c r="L38" s="21">
        <v>0</v>
      </c>
      <c r="M38" s="36"/>
      <c r="N38" s="21">
        <f>+M38*3</f>
        <v>0</v>
      </c>
      <c r="O38" s="36">
        <v>1</v>
      </c>
      <c r="P38" s="31">
        <f t="shared" si="3"/>
        <v>6</v>
      </c>
      <c r="Q38" s="32"/>
      <c r="R38" s="124">
        <f t="shared" si="0"/>
        <v>6</v>
      </c>
      <c r="S38" s="130"/>
      <c r="T38" s="144">
        <v>150</v>
      </c>
      <c r="U38" s="163">
        <f>+T38-T37</f>
        <v>-78.06424419237544</v>
      </c>
      <c r="V38" s="164" t="s">
        <v>144</v>
      </c>
      <c r="W38" s="165">
        <v>0.01</v>
      </c>
    </row>
    <row r="39" spans="9:23">
      <c r="I39" s="27" t="s">
        <v>93</v>
      </c>
      <c r="J39" s="28" t="s">
        <v>94</v>
      </c>
      <c r="K39" s="18"/>
      <c r="L39" s="21">
        <v>0</v>
      </c>
      <c r="M39" s="20"/>
      <c r="N39" s="21">
        <v>0</v>
      </c>
      <c r="O39" s="36"/>
      <c r="P39" s="31">
        <f t="shared" si="3"/>
        <v>0</v>
      </c>
      <c r="Q39" s="24"/>
      <c r="R39" s="124">
        <f t="shared" si="0"/>
        <v>0</v>
      </c>
      <c r="S39" s="7"/>
      <c r="W39" s="162"/>
    </row>
    <row r="40" spans="9:23">
      <c r="I40" s="27" t="s">
        <v>120</v>
      </c>
      <c r="J40" s="28" t="s">
        <v>121</v>
      </c>
      <c r="K40" s="18"/>
      <c r="L40" s="21">
        <v>0</v>
      </c>
      <c r="M40" s="20"/>
      <c r="N40" s="21">
        <v>0</v>
      </c>
      <c r="O40" s="36"/>
      <c r="P40" s="31">
        <f t="shared" si="3"/>
        <v>0</v>
      </c>
      <c r="Q40" s="24"/>
      <c r="R40" s="124">
        <f t="shared" si="0"/>
        <v>0</v>
      </c>
      <c r="S40" s="7"/>
      <c r="T40" s="137">
        <v>964.8</v>
      </c>
      <c r="U40" s="138">
        <v>113.27</v>
      </c>
      <c r="V40" s="139">
        <v>851.53</v>
      </c>
      <c r="W40" s="160" t="s">
        <v>57</v>
      </c>
    </row>
    <row r="41" spans="9:23">
      <c r="I41" s="38" t="s">
        <v>125</v>
      </c>
      <c r="J41" s="50" t="s">
        <v>126</v>
      </c>
      <c r="K41" s="51"/>
      <c r="L41" s="52">
        <v>0</v>
      </c>
      <c r="M41" s="53"/>
      <c r="N41" s="52">
        <v>0</v>
      </c>
      <c r="O41" s="79"/>
      <c r="P41" s="54">
        <f t="shared" si="3"/>
        <v>0</v>
      </c>
      <c r="Q41" s="55"/>
      <c r="R41" s="132">
        <f t="shared" si="0"/>
        <v>0</v>
      </c>
      <c r="S41" s="7"/>
      <c r="T41" s="140">
        <f>+U41+V41</f>
        <v>815.77395981351219</v>
      </c>
      <c r="U41" s="5">
        <f>+U40*V41/V40</f>
        <v>95.77395981351215</v>
      </c>
      <c r="V41" s="141">
        <v>720</v>
      </c>
    </row>
    <row r="42" spans="9:23">
      <c r="I42" s="41"/>
      <c r="J42" s="42"/>
      <c r="K42" s="65">
        <f t="shared" ref="K42:Q42" si="4">SUM(K5:K41)</f>
        <v>0</v>
      </c>
      <c r="L42" s="66">
        <f t="shared" si="4"/>
        <v>0</v>
      </c>
      <c r="M42" s="56">
        <f t="shared" si="4"/>
        <v>0</v>
      </c>
      <c r="N42" s="58">
        <f t="shared" si="4"/>
        <v>0</v>
      </c>
      <c r="O42" s="56">
        <f t="shared" si="4"/>
        <v>425</v>
      </c>
      <c r="P42" s="58">
        <f t="shared" si="4"/>
        <v>2130</v>
      </c>
      <c r="Q42" s="58">
        <f t="shared" si="4"/>
        <v>0</v>
      </c>
      <c r="R42" s="57">
        <f t="shared" si="0"/>
        <v>2130</v>
      </c>
      <c r="S42" s="133"/>
      <c r="T42" s="142">
        <f>+T40-T41</f>
        <v>149.02604018648776</v>
      </c>
      <c r="U42" s="5"/>
      <c r="V42" s="143"/>
      <c r="W42" s="4" t="s">
        <v>145</v>
      </c>
    </row>
    <row r="43" spans="9:23">
      <c r="L43" s="167" t="s">
        <v>105</v>
      </c>
      <c r="M43" s="168">
        <v>245</v>
      </c>
      <c r="N43" s="167" t="s">
        <v>105</v>
      </c>
      <c r="O43" s="168">
        <f>+O44-O42</f>
        <v>5</v>
      </c>
      <c r="P43" s="168">
        <f>+P44-P42</f>
        <v>-168</v>
      </c>
      <c r="Q43" s="168"/>
      <c r="R43" s="175">
        <f>+R7+R16+R25+R29</f>
        <v>132</v>
      </c>
      <c r="T43" s="144">
        <v>150</v>
      </c>
      <c r="U43" s="163">
        <f>+T43-T42</f>
        <v>0.97395981351223782</v>
      </c>
      <c r="V43" s="164" t="s">
        <v>144</v>
      </c>
      <c r="W43" s="9">
        <f>150-U43</f>
        <v>149.02604018648776</v>
      </c>
    </row>
    <row r="44" spans="9:23">
      <c r="L44" s="169"/>
      <c r="M44" s="170">
        <f>+M42-M43</f>
        <v>-245</v>
      </c>
      <c r="N44" s="171" t="s">
        <v>147</v>
      </c>
      <c r="O44" s="169">
        <v>430</v>
      </c>
      <c r="P44" s="169">
        <v>1962</v>
      </c>
      <c r="Q44" s="176" t="s">
        <v>133</v>
      </c>
      <c r="R44" s="177">
        <f>+R42-R43</f>
        <v>1998</v>
      </c>
    </row>
  </sheetData>
  <mergeCells count="4">
    <mergeCell ref="K3:N3"/>
    <mergeCell ref="O3:P3"/>
    <mergeCell ref="T3:U3"/>
    <mergeCell ref="I2:R2"/>
  </mergeCells>
  <conditionalFormatting sqref="R5:R42">
    <cfRule type="cellIs" dxfId="5" priority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2:W44"/>
  <sheetViews>
    <sheetView workbookViewId="0">
      <selection activeCell="N33" sqref="N33"/>
    </sheetView>
  </sheetViews>
  <sheetFormatPr baseColWidth="10" defaultRowHeight="15"/>
  <cols>
    <col min="1" max="1" width="5.7109375" customWidth="1"/>
    <col min="2" max="2" width="0" hidden="1" customWidth="1"/>
    <col min="3" max="3" width="20.7109375" hidden="1" customWidth="1"/>
    <col min="4" max="4" width="20.7109375" style="1" hidden="1" customWidth="1"/>
    <col min="5" max="5" width="13.28515625" hidden="1" customWidth="1"/>
    <col min="6" max="6" width="10.42578125" style="2" hidden="1" customWidth="1"/>
    <col min="7" max="7" width="25.28515625" hidden="1" customWidth="1"/>
    <col min="8" max="8" width="17.7109375" customWidth="1"/>
    <col min="9" max="9" width="8.7109375" customWidth="1"/>
    <col min="10" max="10" width="24.140625" customWidth="1"/>
    <col min="11" max="11" width="8.7109375" customWidth="1"/>
    <col min="12" max="12" width="10.7109375" bestFit="1" customWidth="1"/>
    <col min="13" max="13" width="8.7109375" customWidth="1"/>
    <col min="14" max="14" width="10.28515625" bestFit="1" customWidth="1"/>
    <col min="15" max="15" width="8.7109375" customWidth="1"/>
    <col min="16" max="16" width="11.42578125" customWidth="1"/>
    <col min="17" max="17" width="11.7109375" customWidth="1"/>
    <col min="18" max="18" width="12.5703125" bestFit="1" customWidth="1"/>
    <col min="19" max="19" width="6.7109375" customWidth="1"/>
    <col min="20" max="20" width="13.28515625" bestFit="1" customWidth="1"/>
    <col min="21" max="21" width="11.5703125" bestFit="1" customWidth="1"/>
    <col min="22" max="22" width="17.140625" bestFit="1" customWidth="1"/>
    <col min="23" max="23" width="20.7109375" customWidth="1"/>
    <col min="24" max="24" width="14.7109375" customWidth="1"/>
    <col min="25" max="25" width="16.28515625" bestFit="1" customWidth="1"/>
    <col min="27" max="27" width="18.7109375" bestFit="1" customWidth="1"/>
  </cols>
  <sheetData>
    <row r="2" spans="8:23">
      <c r="I2" s="418" t="s">
        <v>139</v>
      </c>
      <c r="J2" s="418"/>
      <c r="K2" s="418"/>
      <c r="L2" s="418"/>
      <c r="M2" s="418"/>
      <c r="N2" s="418"/>
      <c r="O2" s="418"/>
      <c r="P2" s="418"/>
      <c r="Q2" s="418"/>
      <c r="R2" s="418"/>
      <c r="T2" s="43"/>
    </row>
    <row r="3" spans="8:23">
      <c r="I3" s="11"/>
      <c r="J3" s="11"/>
      <c r="K3" s="428" t="s">
        <v>58</v>
      </c>
      <c r="L3" s="429"/>
      <c r="M3" s="429"/>
      <c r="N3" s="430"/>
      <c r="O3" s="428" t="s">
        <v>59</v>
      </c>
      <c r="P3" s="430"/>
      <c r="Q3" s="11"/>
      <c r="R3" s="11"/>
      <c r="T3" s="426">
        <f ca="1">+TODAY()</f>
        <v>43292</v>
      </c>
      <c r="U3" s="427"/>
    </row>
    <row r="4" spans="8:23" ht="40.5">
      <c r="I4" s="12" t="s">
        <v>11</v>
      </c>
      <c r="J4" s="12" t="s">
        <v>3</v>
      </c>
      <c r="K4" s="64" t="s">
        <v>23</v>
      </c>
      <c r="L4" s="64" t="s">
        <v>77</v>
      </c>
      <c r="M4" s="13" t="s">
        <v>23</v>
      </c>
      <c r="N4" s="13" t="s">
        <v>140</v>
      </c>
      <c r="O4" s="13" t="s">
        <v>23</v>
      </c>
      <c r="P4" s="13" t="s">
        <v>141</v>
      </c>
      <c r="Q4" s="13" t="s">
        <v>142</v>
      </c>
      <c r="R4" s="14" t="s">
        <v>60</v>
      </c>
      <c r="S4" s="7"/>
    </row>
    <row r="5" spans="8:23">
      <c r="I5" s="16" t="s">
        <v>61</v>
      </c>
      <c r="J5" s="17" t="s">
        <v>62</v>
      </c>
      <c r="K5" s="18"/>
      <c r="L5" s="19">
        <f>+K5*3</f>
        <v>0</v>
      </c>
      <c r="M5" s="20">
        <v>16</v>
      </c>
      <c r="N5" s="21">
        <v>0</v>
      </c>
      <c r="O5" s="22"/>
      <c r="P5" s="23"/>
      <c r="Q5" s="24"/>
      <c r="R5" s="134">
        <f>+L5+N5+P5+Q5</f>
        <v>0</v>
      </c>
      <c r="S5" s="7"/>
      <c r="T5" s="137">
        <v>1000.8</v>
      </c>
      <c r="U5" s="138">
        <v>130.1</v>
      </c>
      <c r="V5" s="139">
        <v>870.7</v>
      </c>
      <c r="W5" s="160" t="s">
        <v>143</v>
      </c>
    </row>
    <row r="6" spans="8:23">
      <c r="I6" s="27" t="s">
        <v>4</v>
      </c>
      <c r="J6" s="28" t="s">
        <v>12</v>
      </c>
      <c r="K6" s="18"/>
      <c r="L6" s="21">
        <f>+K6*3</f>
        <v>0</v>
      </c>
      <c r="M6" s="20"/>
      <c r="N6" s="21">
        <v>0</v>
      </c>
      <c r="O6" s="22"/>
      <c r="P6" s="23"/>
      <c r="Q6" s="24"/>
      <c r="R6" s="124">
        <f t="shared" ref="R6:R42" si="0">+L6+N6+P6+Q6</f>
        <v>0</v>
      </c>
      <c r="S6" s="7"/>
      <c r="T6" s="140">
        <f>+U6+V6</f>
        <v>827.58240496152519</v>
      </c>
      <c r="U6" s="5">
        <f>+U5*V6/V5</f>
        <v>107.5824049615252</v>
      </c>
      <c r="V6" s="141">
        <v>720</v>
      </c>
      <c r="W6" s="161">
        <v>740.02</v>
      </c>
    </row>
    <row r="7" spans="8:23">
      <c r="I7" s="27" t="s">
        <v>1</v>
      </c>
      <c r="J7" s="30" t="s">
        <v>56</v>
      </c>
      <c r="K7" s="18"/>
      <c r="L7" s="21">
        <f>+K7*3</f>
        <v>0</v>
      </c>
      <c r="M7" s="20">
        <v>25</v>
      </c>
      <c r="N7" s="21">
        <v>0</v>
      </c>
      <c r="O7" s="36"/>
      <c r="P7" s="31">
        <f>IF(O7&gt;25,150,(O7)*6)</f>
        <v>0</v>
      </c>
      <c r="Q7" s="32">
        <v>20</v>
      </c>
      <c r="R7" s="124">
        <f t="shared" si="0"/>
        <v>20</v>
      </c>
      <c r="S7" s="7"/>
      <c r="T7" s="142">
        <f>+T5-T6</f>
        <v>173.21759503847477</v>
      </c>
      <c r="U7" s="5"/>
      <c r="V7" s="143"/>
      <c r="W7" s="162"/>
    </row>
    <row r="8" spans="8:23">
      <c r="I8" s="113" t="s">
        <v>2</v>
      </c>
      <c r="J8" s="114" t="s">
        <v>47</v>
      </c>
      <c r="K8" s="115"/>
      <c r="L8" s="116"/>
      <c r="M8" s="117"/>
      <c r="N8" s="21">
        <f>+M8*3</f>
        <v>0</v>
      </c>
      <c r="O8" s="117"/>
      <c r="P8" s="31">
        <f>IF(O8&gt;25,150,(O8)*6)</f>
        <v>0</v>
      </c>
      <c r="Q8" s="32"/>
      <c r="R8" s="131">
        <f t="shared" si="0"/>
        <v>0</v>
      </c>
      <c r="S8" s="7"/>
      <c r="T8" s="144">
        <v>150</v>
      </c>
      <c r="U8" s="163">
        <f>+T8-T7</f>
        <v>-23.217595038474769</v>
      </c>
      <c r="V8" s="164" t="s">
        <v>144</v>
      </c>
      <c r="W8" s="165">
        <v>0.01</v>
      </c>
    </row>
    <row r="9" spans="8:23">
      <c r="I9" s="27" t="s">
        <v>0</v>
      </c>
      <c r="J9" s="28" t="s">
        <v>7</v>
      </c>
      <c r="K9" s="18"/>
      <c r="L9" s="21">
        <f>+K9*5</f>
        <v>0</v>
      </c>
      <c r="M9" s="20">
        <v>26</v>
      </c>
      <c r="N9" s="21">
        <f>5*M9</f>
        <v>130</v>
      </c>
      <c r="O9" s="22"/>
      <c r="P9" s="23">
        <v>0</v>
      </c>
      <c r="Q9" s="24"/>
      <c r="R9" s="124">
        <f t="shared" si="0"/>
        <v>130</v>
      </c>
      <c r="S9" s="7"/>
      <c r="T9" s="26"/>
      <c r="W9" s="162"/>
    </row>
    <row r="10" spans="8:23">
      <c r="I10" s="27" t="s">
        <v>5</v>
      </c>
      <c r="J10" s="30" t="s">
        <v>71</v>
      </c>
      <c r="K10" s="18"/>
      <c r="L10" s="21">
        <f>+K10*3</f>
        <v>0</v>
      </c>
      <c r="M10" s="36"/>
      <c r="N10" s="21">
        <f>+M10*5</f>
        <v>0</v>
      </c>
      <c r="O10" s="36">
        <v>47</v>
      </c>
      <c r="P10" s="31">
        <f t="shared" ref="P10:P30" si="1">IF(O10&gt;25,150,(O10)*6)</f>
        <v>150</v>
      </c>
      <c r="Q10" s="32"/>
      <c r="R10" s="131">
        <f t="shared" si="0"/>
        <v>150</v>
      </c>
      <c r="S10" s="7"/>
      <c r="T10" s="137">
        <v>838.8</v>
      </c>
      <c r="U10" s="138">
        <v>108.71</v>
      </c>
      <c r="V10" s="139">
        <v>730.09</v>
      </c>
      <c r="W10" s="160" t="s">
        <v>52</v>
      </c>
    </row>
    <row r="11" spans="8:23">
      <c r="I11" s="27" t="s">
        <v>27</v>
      </c>
      <c r="J11" s="30" t="s">
        <v>28</v>
      </c>
      <c r="K11" s="18"/>
      <c r="L11" s="21">
        <v>0</v>
      </c>
      <c r="M11" s="36">
        <v>22</v>
      </c>
      <c r="N11" s="21">
        <v>0</v>
      </c>
      <c r="O11" s="36"/>
      <c r="P11" s="31">
        <f t="shared" si="1"/>
        <v>0</v>
      </c>
      <c r="Q11" s="32"/>
      <c r="R11" s="131">
        <f t="shared" si="0"/>
        <v>0</v>
      </c>
      <c r="S11" s="7"/>
      <c r="T11" s="140">
        <f>+U11+V11</f>
        <v>827.20760454190577</v>
      </c>
      <c r="U11" s="5">
        <f>+U10*V11/V10</f>
        <v>107.20760454190578</v>
      </c>
      <c r="V11" s="141">
        <v>720</v>
      </c>
      <c r="W11" s="162"/>
    </row>
    <row r="12" spans="8:23">
      <c r="I12" s="27" t="s">
        <v>8</v>
      </c>
      <c r="J12" s="30" t="s">
        <v>29</v>
      </c>
      <c r="K12" s="35"/>
      <c r="L12" s="21"/>
      <c r="M12" s="36">
        <v>23</v>
      </c>
      <c r="N12" s="21">
        <v>0</v>
      </c>
      <c r="O12" s="36"/>
      <c r="P12" s="31">
        <f t="shared" si="1"/>
        <v>0</v>
      </c>
      <c r="Q12" s="32"/>
      <c r="R12" s="131">
        <f t="shared" si="0"/>
        <v>0</v>
      </c>
      <c r="S12" s="7"/>
      <c r="T12" s="142">
        <f>+T10-T11</f>
        <v>11.592395458094188</v>
      </c>
      <c r="U12" s="5"/>
      <c r="V12" s="143"/>
      <c r="W12" s="4" t="s">
        <v>145</v>
      </c>
    </row>
    <row r="13" spans="8:23">
      <c r="I13" s="27" t="s">
        <v>63</v>
      </c>
      <c r="J13" s="30" t="s">
        <v>33</v>
      </c>
      <c r="K13" s="35"/>
      <c r="L13" s="21"/>
      <c r="M13" s="36"/>
      <c r="N13" s="21">
        <f>+M13*3</f>
        <v>0</v>
      </c>
      <c r="O13" s="36">
        <v>44</v>
      </c>
      <c r="P13" s="31">
        <f t="shared" si="1"/>
        <v>150</v>
      </c>
      <c r="Q13" s="32"/>
      <c r="R13" s="131">
        <f t="shared" si="0"/>
        <v>150</v>
      </c>
      <c r="S13" s="7"/>
      <c r="T13" s="144">
        <v>150</v>
      </c>
      <c r="U13" s="163">
        <f>+T13-T12</f>
        <v>138.40760454190581</v>
      </c>
      <c r="V13" s="164" t="s">
        <v>144</v>
      </c>
      <c r="W13" s="9">
        <f>150-U13</f>
        <v>11.592395458094188</v>
      </c>
    </row>
    <row r="14" spans="8:23">
      <c r="I14" s="27" t="s">
        <v>24</v>
      </c>
      <c r="J14" s="30" t="s">
        <v>30</v>
      </c>
      <c r="K14" s="18"/>
      <c r="L14" s="21">
        <v>0</v>
      </c>
      <c r="M14" s="20"/>
      <c r="N14" s="21">
        <f>+M14*3</f>
        <v>0</v>
      </c>
      <c r="O14" s="36">
        <v>29</v>
      </c>
      <c r="P14" s="31">
        <f t="shared" si="1"/>
        <v>150</v>
      </c>
      <c r="Q14" s="32"/>
      <c r="R14" s="124">
        <f t="shared" si="0"/>
        <v>150</v>
      </c>
      <c r="S14" s="7"/>
      <c r="T14" s="26"/>
      <c r="W14" s="162"/>
    </row>
    <row r="15" spans="8:23">
      <c r="I15" s="27" t="s">
        <v>18</v>
      </c>
      <c r="J15" s="28" t="s">
        <v>72</v>
      </c>
      <c r="K15" s="18"/>
      <c r="L15" s="21">
        <f>+K15*3</f>
        <v>0</v>
      </c>
      <c r="M15" s="20">
        <v>27</v>
      </c>
      <c r="N15" s="21">
        <f>+M15*3</f>
        <v>81</v>
      </c>
      <c r="O15" s="36"/>
      <c r="P15" s="31">
        <f t="shared" si="1"/>
        <v>0</v>
      </c>
      <c r="Q15" s="24"/>
      <c r="R15" s="124">
        <f t="shared" si="0"/>
        <v>81</v>
      </c>
      <c r="S15" s="7"/>
      <c r="T15" s="137">
        <v>964.8</v>
      </c>
      <c r="U15" s="138">
        <v>125.42</v>
      </c>
      <c r="V15" s="139">
        <v>839.38</v>
      </c>
      <c r="W15" s="160" t="s">
        <v>53</v>
      </c>
    </row>
    <row r="16" spans="8:23">
      <c r="H16" s="82" t="s">
        <v>84</v>
      </c>
      <c r="I16" s="83" t="s">
        <v>6</v>
      </c>
      <c r="J16" s="84" t="s">
        <v>99</v>
      </c>
      <c r="K16" s="85"/>
      <c r="L16" s="86">
        <f>+K16*3</f>
        <v>0</v>
      </c>
      <c r="M16" s="87"/>
      <c r="N16" s="86">
        <f t="shared" ref="N16:N33" si="2">+M16*3</f>
        <v>0</v>
      </c>
      <c r="O16" s="88"/>
      <c r="P16" s="89">
        <f t="shared" si="1"/>
        <v>0</v>
      </c>
      <c r="Q16" s="90"/>
      <c r="R16" s="135">
        <f t="shared" si="0"/>
        <v>0</v>
      </c>
      <c r="S16" s="7"/>
      <c r="T16" s="140">
        <f>+U16+V16</f>
        <v>827.58226309895394</v>
      </c>
      <c r="U16" s="5">
        <f>+U15*V16/V15</f>
        <v>107.58226309895399</v>
      </c>
      <c r="V16" s="141">
        <v>720</v>
      </c>
      <c r="W16" s="162"/>
    </row>
    <row r="17" spans="4:23">
      <c r="I17" s="27" t="s">
        <v>31</v>
      </c>
      <c r="J17" s="30" t="s">
        <v>32</v>
      </c>
      <c r="K17" s="35"/>
      <c r="L17" s="21"/>
      <c r="M17" s="36"/>
      <c r="N17" s="21">
        <f t="shared" si="2"/>
        <v>0</v>
      </c>
      <c r="O17" s="36">
        <v>34</v>
      </c>
      <c r="P17" s="31">
        <f t="shared" si="1"/>
        <v>150</v>
      </c>
      <c r="Q17" s="32"/>
      <c r="R17" s="124">
        <f t="shared" si="0"/>
        <v>150</v>
      </c>
      <c r="S17" s="7"/>
      <c r="T17" s="142">
        <f>+T15-T16</f>
        <v>137.21773690104601</v>
      </c>
      <c r="U17" s="5"/>
      <c r="V17" s="143"/>
      <c r="W17" s="4" t="s">
        <v>145</v>
      </c>
    </row>
    <row r="18" spans="4:23">
      <c r="I18" s="27" t="s">
        <v>54</v>
      </c>
      <c r="J18" s="30" t="s">
        <v>55</v>
      </c>
      <c r="K18" s="18"/>
      <c r="L18" s="21">
        <f>+K18*3</f>
        <v>0</v>
      </c>
      <c r="M18" s="20"/>
      <c r="N18" s="21">
        <f t="shared" si="2"/>
        <v>0</v>
      </c>
      <c r="O18" s="36"/>
      <c r="P18" s="31">
        <f t="shared" si="1"/>
        <v>0</v>
      </c>
      <c r="Q18" s="32"/>
      <c r="R18" s="124">
        <f t="shared" si="0"/>
        <v>0</v>
      </c>
      <c r="S18" s="7"/>
      <c r="T18" s="144">
        <v>150</v>
      </c>
      <c r="U18" s="163">
        <f>+T18-T17+0.01</f>
        <v>12.79226309895399</v>
      </c>
      <c r="V18" s="164" t="s">
        <v>144</v>
      </c>
      <c r="W18" s="9">
        <f>150-U18</f>
        <v>137.20773690104602</v>
      </c>
    </row>
    <row r="19" spans="4:23">
      <c r="I19" s="113" t="s">
        <v>10</v>
      </c>
      <c r="J19" s="114" t="s">
        <v>34</v>
      </c>
      <c r="K19" s="115"/>
      <c r="L19" s="116"/>
      <c r="M19" s="117"/>
      <c r="N19" s="116">
        <f t="shared" si="2"/>
        <v>0</v>
      </c>
      <c r="O19" s="117"/>
      <c r="P19" s="31">
        <f t="shared" si="1"/>
        <v>0</v>
      </c>
      <c r="Q19" s="32"/>
      <c r="R19" s="131">
        <f t="shared" si="0"/>
        <v>0</v>
      </c>
      <c r="S19" s="7"/>
      <c r="T19" s="26"/>
      <c r="W19" s="162"/>
    </row>
    <row r="20" spans="4:23">
      <c r="I20" s="113" t="s">
        <v>9</v>
      </c>
      <c r="J20" s="114" t="s">
        <v>35</v>
      </c>
      <c r="K20" s="115"/>
      <c r="L20" s="116"/>
      <c r="M20" s="117"/>
      <c r="N20" s="116">
        <f t="shared" si="2"/>
        <v>0</v>
      </c>
      <c r="O20" s="117">
        <v>50</v>
      </c>
      <c r="P20" s="31">
        <f t="shared" si="1"/>
        <v>150</v>
      </c>
      <c r="Q20" s="32"/>
      <c r="R20" s="131">
        <f t="shared" si="0"/>
        <v>150</v>
      </c>
      <c r="S20" s="7"/>
      <c r="T20" s="137">
        <v>1000.8</v>
      </c>
      <c r="U20" s="138">
        <v>130.1</v>
      </c>
      <c r="V20" s="139">
        <v>870.7</v>
      </c>
      <c r="W20" s="160" t="s">
        <v>74</v>
      </c>
    </row>
    <row r="21" spans="4:23">
      <c r="I21" s="27" t="s">
        <v>36</v>
      </c>
      <c r="J21" s="30" t="s">
        <v>37</v>
      </c>
      <c r="K21" s="35"/>
      <c r="L21" s="21"/>
      <c r="M21" s="36"/>
      <c r="N21" s="21">
        <f t="shared" si="2"/>
        <v>0</v>
      </c>
      <c r="O21" s="36">
        <v>37</v>
      </c>
      <c r="P21" s="31">
        <f t="shared" si="1"/>
        <v>150</v>
      </c>
      <c r="Q21" s="32"/>
      <c r="R21" s="124">
        <f t="shared" si="0"/>
        <v>150</v>
      </c>
      <c r="S21" s="7"/>
      <c r="T21" s="140">
        <f>+U21+V21</f>
        <v>827.58240496152519</v>
      </c>
      <c r="U21" s="5">
        <f>+U20*V21/V20</f>
        <v>107.5824049615252</v>
      </c>
      <c r="V21" s="141">
        <v>720</v>
      </c>
      <c r="W21" s="161">
        <v>740.02</v>
      </c>
    </row>
    <row r="22" spans="4:23">
      <c r="I22" s="27" t="s">
        <v>64</v>
      </c>
      <c r="J22" s="30" t="s">
        <v>65</v>
      </c>
      <c r="K22" s="35"/>
      <c r="L22" s="21"/>
      <c r="M22" s="36">
        <v>21</v>
      </c>
      <c r="N22" s="21">
        <v>0</v>
      </c>
      <c r="O22" s="36"/>
      <c r="P22" s="31">
        <f t="shared" si="1"/>
        <v>0</v>
      </c>
      <c r="Q22" s="32"/>
      <c r="R22" s="124">
        <f t="shared" si="0"/>
        <v>0</v>
      </c>
      <c r="S22" s="7"/>
      <c r="T22" s="142">
        <f>+T20-T21</f>
        <v>173.21759503847477</v>
      </c>
      <c r="U22" s="5"/>
      <c r="V22" s="143"/>
      <c r="W22" s="162"/>
    </row>
    <row r="23" spans="4:23">
      <c r="I23" s="27" t="s">
        <v>13</v>
      </c>
      <c r="J23" s="30" t="s">
        <v>38</v>
      </c>
      <c r="K23" s="35"/>
      <c r="L23" s="21"/>
      <c r="M23" s="36"/>
      <c r="N23" s="21">
        <f t="shared" si="2"/>
        <v>0</v>
      </c>
      <c r="O23" s="36">
        <v>44</v>
      </c>
      <c r="P23" s="31">
        <f t="shared" si="1"/>
        <v>150</v>
      </c>
      <c r="Q23" s="32"/>
      <c r="R23" s="124">
        <f t="shared" si="0"/>
        <v>150</v>
      </c>
      <c r="S23" s="7"/>
      <c r="T23" s="144">
        <v>150</v>
      </c>
      <c r="U23" s="163">
        <f>+T23-T22</f>
        <v>-23.217595038474769</v>
      </c>
      <c r="V23" s="164" t="s">
        <v>144</v>
      </c>
      <c r="W23" s="165">
        <v>0.01</v>
      </c>
    </row>
    <row r="24" spans="4:23">
      <c r="I24" s="27" t="s">
        <v>39</v>
      </c>
      <c r="J24" s="30" t="s">
        <v>40</v>
      </c>
      <c r="K24" s="35"/>
      <c r="L24" s="21"/>
      <c r="M24" s="36"/>
      <c r="N24" s="21">
        <f t="shared" si="2"/>
        <v>0</v>
      </c>
      <c r="O24" s="36"/>
      <c r="P24" s="31">
        <f t="shared" si="1"/>
        <v>0</v>
      </c>
      <c r="Q24" s="32"/>
      <c r="R24" s="124">
        <f t="shared" si="0"/>
        <v>0</v>
      </c>
      <c r="S24" s="7"/>
      <c r="T24" s="26"/>
      <c r="W24" s="162"/>
    </row>
    <row r="25" spans="4:23">
      <c r="H25" s="82" t="s">
        <v>84</v>
      </c>
      <c r="I25" s="83" t="s">
        <v>19</v>
      </c>
      <c r="J25" s="84" t="s">
        <v>20</v>
      </c>
      <c r="K25" s="85"/>
      <c r="L25" s="86">
        <f>+K25*3</f>
        <v>0</v>
      </c>
      <c r="M25" s="87"/>
      <c r="N25" s="86">
        <f t="shared" si="2"/>
        <v>0</v>
      </c>
      <c r="O25" s="88"/>
      <c r="P25" s="89">
        <f t="shared" si="1"/>
        <v>0</v>
      </c>
      <c r="Q25" s="90"/>
      <c r="R25" s="135">
        <f t="shared" si="0"/>
        <v>0</v>
      </c>
      <c r="S25" s="7"/>
      <c r="T25" s="137">
        <v>946.8</v>
      </c>
      <c r="U25" s="138">
        <v>123.08</v>
      </c>
      <c r="V25" s="139">
        <v>823.72</v>
      </c>
      <c r="W25" s="160" t="s">
        <v>51</v>
      </c>
    </row>
    <row r="26" spans="4:23">
      <c r="I26" s="27" t="s">
        <v>41</v>
      </c>
      <c r="J26" s="30" t="s">
        <v>42</v>
      </c>
      <c r="K26" s="35"/>
      <c r="L26" s="21"/>
      <c r="M26" s="36"/>
      <c r="N26" s="21">
        <f t="shared" si="2"/>
        <v>0</v>
      </c>
      <c r="O26" s="36">
        <v>47</v>
      </c>
      <c r="P26" s="31">
        <f t="shared" si="1"/>
        <v>150</v>
      </c>
      <c r="Q26" s="32"/>
      <c r="R26" s="124">
        <f t="shared" si="0"/>
        <v>150</v>
      </c>
      <c r="S26" s="7"/>
      <c r="T26" s="140">
        <f>+U26+V26</f>
        <v>827.5821881221774</v>
      </c>
      <c r="U26" s="5">
        <f>+U25*V26/V25</f>
        <v>107.58218812217744</v>
      </c>
      <c r="V26" s="141">
        <v>720</v>
      </c>
      <c r="W26" s="162"/>
    </row>
    <row r="27" spans="4:23">
      <c r="I27" s="27" t="s">
        <v>26</v>
      </c>
      <c r="J27" s="30" t="s">
        <v>48</v>
      </c>
      <c r="K27" s="18"/>
      <c r="L27" s="21">
        <v>0</v>
      </c>
      <c r="M27" s="20"/>
      <c r="N27" s="21">
        <f t="shared" si="2"/>
        <v>0</v>
      </c>
      <c r="O27" s="36">
        <v>31</v>
      </c>
      <c r="P27" s="31">
        <f t="shared" si="1"/>
        <v>150</v>
      </c>
      <c r="Q27" s="32"/>
      <c r="R27" s="124">
        <f t="shared" si="0"/>
        <v>150</v>
      </c>
      <c r="S27" s="7"/>
      <c r="T27" s="142">
        <f>+T25-T26</f>
        <v>119.21781187782256</v>
      </c>
      <c r="U27" s="5"/>
      <c r="V27" s="143"/>
      <c r="W27" s="4" t="s">
        <v>145</v>
      </c>
    </row>
    <row r="28" spans="4:23">
      <c r="I28" s="27" t="s">
        <v>67</v>
      </c>
      <c r="J28" s="28" t="s">
        <v>68</v>
      </c>
      <c r="K28" s="18"/>
      <c r="L28" s="21">
        <v>0</v>
      </c>
      <c r="M28" s="20"/>
      <c r="N28" s="21">
        <f t="shared" si="2"/>
        <v>0</v>
      </c>
      <c r="O28" s="22"/>
      <c r="P28" s="31">
        <f t="shared" si="1"/>
        <v>0</v>
      </c>
      <c r="Q28" s="24"/>
      <c r="R28" s="124">
        <f t="shared" si="0"/>
        <v>0</v>
      </c>
      <c r="S28" s="7"/>
      <c r="T28" s="144">
        <v>150</v>
      </c>
      <c r="U28" s="163">
        <f>+T28-T27+0.01</f>
        <v>30.792188122177446</v>
      </c>
      <c r="V28" s="164" t="s">
        <v>144</v>
      </c>
      <c r="W28" s="9">
        <f>150-U28</f>
        <v>119.20781187782255</v>
      </c>
    </row>
    <row r="29" spans="4:23">
      <c r="I29" s="27" t="s">
        <v>21</v>
      </c>
      <c r="J29" s="28" t="s">
        <v>22</v>
      </c>
      <c r="K29" s="18"/>
      <c r="L29" s="21">
        <v>0</v>
      </c>
      <c r="M29" s="20"/>
      <c r="N29" s="21">
        <f t="shared" si="2"/>
        <v>0</v>
      </c>
      <c r="O29" s="36">
        <v>38</v>
      </c>
      <c r="P29" s="31">
        <f t="shared" si="1"/>
        <v>150</v>
      </c>
      <c r="Q29" s="24"/>
      <c r="R29" s="124">
        <f t="shared" si="0"/>
        <v>150</v>
      </c>
      <c r="S29" s="7"/>
      <c r="T29" s="26"/>
      <c r="W29" s="162"/>
    </row>
    <row r="30" spans="4:23">
      <c r="I30" s="27" t="s">
        <v>43</v>
      </c>
      <c r="J30" s="28" t="s">
        <v>73</v>
      </c>
      <c r="K30" s="18"/>
      <c r="L30" s="21">
        <v>0</v>
      </c>
      <c r="M30" s="20"/>
      <c r="N30" s="21">
        <f t="shared" si="2"/>
        <v>0</v>
      </c>
      <c r="O30" s="36">
        <v>36</v>
      </c>
      <c r="P30" s="31">
        <f t="shared" si="1"/>
        <v>150</v>
      </c>
      <c r="Q30" s="24"/>
      <c r="R30" s="124">
        <f t="shared" si="0"/>
        <v>150</v>
      </c>
      <c r="S30" s="7"/>
      <c r="T30" s="137">
        <v>946.8</v>
      </c>
      <c r="U30" s="138">
        <v>117.69</v>
      </c>
      <c r="V30" s="139">
        <v>829.11</v>
      </c>
      <c r="W30" s="160" t="s">
        <v>49</v>
      </c>
    </row>
    <row r="31" spans="4:23">
      <c r="I31" s="27" t="s">
        <v>44</v>
      </c>
      <c r="J31" s="30" t="s">
        <v>45</v>
      </c>
      <c r="K31" s="27"/>
      <c r="L31" s="21">
        <f>+K31*3</f>
        <v>0</v>
      </c>
      <c r="M31" s="36">
        <v>16</v>
      </c>
      <c r="N31" s="21">
        <f t="shared" si="2"/>
        <v>48</v>
      </c>
      <c r="O31" s="36"/>
      <c r="P31" s="31">
        <f>IF(O31&gt;25,150,(O31)*6)</f>
        <v>0</v>
      </c>
      <c r="Q31" s="32"/>
      <c r="R31" s="124">
        <f t="shared" si="0"/>
        <v>48</v>
      </c>
      <c r="S31" s="130"/>
      <c r="T31" s="140">
        <f>+U31+V31</f>
        <v>822.20212034591304</v>
      </c>
      <c r="U31" s="5">
        <f>+U30*V31/V30</f>
        <v>102.20212034591309</v>
      </c>
      <c r="V31" s="141">
        <v>720</v>
      </c>
      <c r="W31" s="162"/>
    </row>
    <row r="32" spans="4:23" s="4" customFormat="1">
      <c r="D32" s="3"/>
      <c r="F32" s="166"/>
      <c r="I32" s="113" t="s">
        <v>14</v>
      </c>
      <c r="J32" s="114" t="s">
        <v>66</v>
      </c>
      <c r="K32" s="120"/>
      <c r="L32" s="116">
        <f>+K32*3</f>
        <v>0</v>
      </c>
      <c r="M32" s="121"/>
      <c r="N32" s="21">
        <f t="shared" si="2"/>
        <v>0</v>
      </c>
      <c r="O32" s="117">
        <v>45</v>
      </c>
      <c r="P32" s="31">
        <f>IF(O32&gt;25,150,(O32)*6)</f>
        <v>150</v>
      </c>
      <c r="Q32" s="32"/>
      <c r="R32" s="131">
        <f t="shared" si="0"/>
        <v>150</v>
      </c>
      <c r="S32" s="10"/>
      <c r="T32" s="142">
        <f>+T30-T31</f>
        <v>124.59787965408691</v>
      </c>
      <c r="U32" s="5"/>
      <c r="V32" s="143"/>
      <c r="W32" s="4" t="s">
        <v>145</v>
      </c>
    </row>
    <row r="33" spans="9:23">
      <c r="I33" s="27" t="s">
        <v>15</v>
      </c>
      <c r="J33" s="28" t="s">
        <v>16</v>
      </c>
      <c r="K33" s="18"/>
      <c r="L33" s="21">
        <f>+K33*3</f>
        <v>0</v>
      </c>
      <c r="M33" s="20">
        <v>29</v>
      </c>
      <c r="N33" s="21">
        <f t="shared" si="2"/>
        <v>87</v>
      </c>
      <c r="O33" s="36"/>
      <c r="P33" s="23">
        <f t="shared" ref="P33:P41" si="3">IF(O33&gt;25,150,(O33)*6)</f>
        <v>0</v>
      </c>
      <c r="Q33" s="24"/>
      <c r="R33" s="124">
        <f t="shared" si="0"/>
        <v>87</v>
      </c>
      <c r="S33" s="130"/>
      <c r="T33" s="144">
        <v>150</v>
      </c>
      <c r="U33" s="163">
        <f>+T33-T32</f>
        <v>25.40212034591309</v>
      </c>
      <c r="V33" s="164" t="s">
        <v>144</v>
      </c>
      <c r="W33" s="9">
        <f>150-U33</f>
        <v>124.59787965408691</v>
      </c>
    </row>
    <row r="34" spans="9:23">
      <c r="I34" s="27" t="s">
        <v>17</v>
      </c>
      <c r="J34" s="30" t="s">
        <v>119</v>
      </c>
      <c r="K34" s="35"/>
      <c r="L34" s="21"/>
      <c r="M34" s="36">
        <v>19</v>
      </c>
      <c r="N34" s="21">
        <v>0</v>
      </c>
      <c r="O34" s="36"/>
      <c r="P34" s="31">
        <f t="shared" si="3"/>
        <v>0</v>
      </c>
      <c r="Q34" s="32">
        <v>20</v>
      </c>
      <c r="R34" s="124">
        <f t="shared" si="0"/>
        <v>20</v>
      </c>
      <c r="S34" s="130"/>
      <c r="W34" s="162"/>
    </row>
    <row r="35" spans="9:23">
      <c r="I35" s="113" t="s">
        <v>75</v>
      </c>
      <c r="J35" s="114" t="s">
        <v>76</v>
      </c>
      <c r="K35" s="115"/>
      <c r="L35" s="116"/>
      <c r="M35" s="117"/>
      <c r="N35" s="116">
        <f>+M35*3</f>
        <v>0</v>
      </c>
      <c r="O35" s="117">
        <v>23</v>
      </c>
      <c r="P35" s="31">
        <f t="shared" si="3"/>
        <v>138</v>
      </c>
      <c r="Q35" s="32"/>
      <c r="R35" s="131">
        <f t="shared" si="0"/>
        <v>138</v>
      </c>
      <c r="S35" s="130"/>
      <c r="T35" s="137">
        <v>1054.8</v>
      </c>
      <c r="U35" s="138">
        <v>136.18</v>
      </c>
      <c r="V35" s="139">
        <v>918.62</v>
      </c>
      <c r="W35" s="160" t="s">
        <v>50</v>
      </c>
    </row>
    <row r="36" spans="9:23">
      <c r="I36" s="113" t="s">
        <v>146</v>
      </c>
      <c r="J36" s="114" t="s">
        <v>55</v>
      </c>
      <c r="K36" s="115"/>
      <c r="L36" s="116"/>
      <c r="M36" s="117">
        <v>21</v>
      </c>
      <c r="N36" s="116">
        <v>0</v>
      </c>
      <c r="O36" s="117"/>
      <c r="P36" s="31">
        <f t="shared" si="3"/>
        <v>0</v>
      </c>
      <c r="Q36" s="32"/>
      <c r="R36" s="131">
        <f t="shared" si="0"/>
        <v>0</v>
      </c>
      <c r="S36" s="130"/>
      <c r="T36" s="140">
        <f>+U36+V36</f>
        <v>826.73575580762451</v>
      </c>
      <c r="U36" s="5">
        <f>+U35*V36/V35</f>
        <v>106.73575580762449</v>
      </c>
      <c r="V36" s="141">
        <v>720</v>
      </c>
      <c r="W36" s="161">
        <v>788</v>
      </c>
    </row>
    <row r="37" spans="9:23">
      <c r="I37" s="113" t="s">
        <v>69</v>
      </c>
      <c r="J37" s="114" t="s">
        <v>70</v>
      </c>
      <c r="K37" s="115"/>
      <c r="L37" s="116">
        <v>0</v>
      </c>
      <c r="M37" s="117"/>
      <c r="N37" s="116">
        <f>+M37*3</f>
        <v>0</v>
      </c>
      <c r="O37" s="117">
        <v>2</v>
      </c>
      <c r="P37" s="31">
        <f t="shared" si="3"/>
        <v>12</v>
      </c>
      <c r="Q37" s="32"/>
      <c r="R37" s="131">
        <f t="shared" si="0"/>
        <v>12</v>
      </c>
      <c r="S37" s="130"/>
      <c r="T37" s="142">
        <f>+T35-T36</f>
        <v>228.06424419237544</v>
      </c>
      <c r="U37" s="5"/>
      <c r="V37" s="143"/>
      <c r="W37" s="162"/>
    </row>
    <row r="38" spans="9:23">
      <c r="I38" s="27" t="s">
        <v>91</v>
      </c>
      <c r="J38" s="30" t="s">
        <v>92</v>
      </c>
      <c r="K38" s="35"/>
      <c r="L38" s="21">
        <v>0</v>
      </c>
      <c r="M38" s="36"/>
      <c r="N38" s="21">
        <f>+M38*3</f>
        <v>0</v>
      </c>
      <c r="O38" s="36">
        <v>19</v>
      </c>
      <c r="P38" s="31">
        <f t="shared" si="3"/>
        <v>114</v>
      </c>
      <c r="Q38" s="32"/>
      <c r="R38" s="124">
        <f t="shared" si="0"/>
        <v>114</v>
      </c>
      <c r="S38" s="130"/>
      <c r="T38" s="144">
        <v>150</v>
      </c>
      <c r="U38" s="163">
        <f>+T38-T37</f>
        <v>-78.06424419237544</v>
      </c>
      <c r="V38" s="164" t="s">
        <v>144</v>
      </c>
      <c r="W38" s="165">
        <v>0.01</v>
      </c>
    </row>
    <row r="39" spans="9:23">
      <c r="I39" s="27" t="s">
        <v>93</v>
      </c>
      <c r="J39" s="28" t="s">
        <v>94</v>
      </c>
      <c r="K39" s="18"/>
      <c r="L39" s="21">
        <v>0</v>
      </c>
      <c r="M39" s="20">
        <v>19</v>
      </c>
      <c r="N39" s="21">
        <v>0</v>
      </c>
      <c r="O39" s="36"/>
      <c r="P39" s="31">
        <f t="shared" si="3"/>
        <v>0</v>
      </c>
      <c r="Q39" s="24"/>
      <c r="R39" s="124">
        <f t="shared" si="0"/>
        <v>0</v>
      </c>
      <c r="S39" s="7"/>
      <c r="W39" s="162"/>
    </row>
    <row r="40" spans="9:23">
      <c r="I40" s="27" t="s">
        <v>120</v>
      </c>
      <c r="J40" s="28" t="s">
        <v>121</v>
      </c>
      <c r="K40" s="18"/>
      <c r="L40" s="21">
        <v>0</v>
      </c>
      <c r="M40" s="20"/>
      <c r="N40" s="21">
        <v>0</v>
      </c>
      <c r="O40" s="36"/>
      <c r="P40" s="31">
        <f t="shared" si="3"/>
        <v>0</v>
      </c>
      <c r="Q40" s="24"/>
      <c r="R40" s="124">
        <f t="shared" si="0"/>
        <v>0</v>
      </c>
      <c r="S40" s="7"/>
      <c r="T40" s="137">
        <v>964.8</v>
      </c>
      <c r="U40" s="138">
        <v>113.27</v>
      </c>
      <c r="V40" s="139">
        <v>851.53</v>
      </c>
      <c r="W40" s="160" t="s">
        <v>57</v>
      </c>
    </row>
    <row r="41" spans="9:23">
      <c r="I41" s="38" t="s">
        <v>125</v>
      </c>
      <c r="J41" s="50" t="s">
        <v>126</v>
      </c>
      <c r="K41" s="51"/>
      <c r="L41" s="52">
        <v>0</v>
      </c>
      <c r="M41" s="53">
        <v>1E-83</v>
      </c>
      <c r="N41" s="52">
        <v>60</v>
      </c>
      <c r="O41" s="79"/>
      <c r="P41" s="54">
        <f t="shared" si="3"/>
        <v>0</v>
      </c>
      <c r="Q41" s="55"/>
      <c r="R41" s="132">
        <f t="shared" si="0"/>
        <v>60</v>
      </c>
      <c r="S41" s="7"/>
      <c r="T41" s="140">
        <f>+U41+V41</f>
        <v>815.77395981351219</v>
      </c>
      <c r="U41" s="5">
        <f>+U40*V41/V40</f>
        <v>95.77395981351215</v>
      </c>
      <c r="V41" s="141">
        <v>720</v>
      </c>
    </row>
    <row r="42" spans="9:23">
      <c r="I42" s="41"/>
      <c r="J42" s="42"/>
      <c r="K42" s="65">
        <f t="shared" ref="K42:Q42" si="4">SUM(K5:K41)</f>
        <v>0</v>
      </c>
      <c r="L42" s="66">
        <f t="shared" si="4"/>
        <v>0</v>
      </c>
      <c r="M42" s="56">
        <f t="shared" si="4"/>
        <v>264</v>
      </c>
      <c r="N42" s="58">
        <f t="shared" si="4"/>
        <v>406</v>
      </c>
      <c r="O42" s="56">
        <f t="shared" si="4"/>
        <v>526</v>
      </c>
      <c r="P42" s="58">
        <f t="shared" si="4"/>
        <v>2064</v>
      </c>
      <c r="Q42" s="58">
        <f t="shared" si="4"/>
        <v>40</v>
      </c>
      <c r="R42" s="57">
        <f t="shared" si="0"/>
        <v>2510</v>
      </c>
      <c r="S42" s="133"/>
      <c r="T42" s="142">
        <f>+T40-T41</f>
        <v>149.02604018648776</v>
      </c>
      <c r="U42" s="5"/>
      <c r="V42" s="143"/>
      <c r="W42" s="4" t="s">
        <v>145</v>
      </c>
    </row>
    <row r="43" spans="9:23">
      <c r="L43" s="167" t="s">
        <v>105</v>
      </c>
      <c r="M43" s="168">
        <v>245</v>
      </c>
      <c r="N43" s="167" t="s">
        <v>105</v>
      </c>
      <c r="O43" s="168">
        <f>+O44-O42</f>
        <v>-96</v>
      </c>
      <c r="P43" s="168">
        <f>+P44-P42</f>
        <v>-102</v>
      </c>
      <c r="Q43" s="168"/>
      <c r="R43" s="168"/>
      <c r="T43" s="144">
        <v>150</v>
      </c>
      <c r="U43" s="163">
        <f>+T43-T42</f>
        <v>0.97395981351223782</v>
      </c>
      <c r="V43" s="164" t="s">
        <v>144</v>
      </c>
      <c r="W43" s="9">
        <f>150-U43</f>
        <v>149.02604018648776</v>
      </c>
    </row>
    <row r="44" spans="9:23">
      <c r="L44" s="169"/>
      <c r="M44" s="170">
        <f>+M42-M43</f>
        <v>19</v>
      </c>
      <c r="N44" s="171" t="s">
        <v>147</v>
      </c>
      <c r="O44" s="169">
        <v>430</v>
      </c>
      <c r="P44" s="169">
        <v>1962</v>
      </c>
      <c r="Q44" s="171" t="s">
        <v>133</v>
      </c>
      <c r="R44" s="169">
        <f>+R42-R41</f>
        <v>2450</v>
      </c>
    </row>
  </sheetData>
  <mergeCells count="4">
    <mergeCell ref="I2:R2"/>
    <mergeCell ref="K3:N3"/>
    <mergeCell ref="O3:P3"/>
    <mergeCell ref="T3:U3"/>
  </mergeCells>
  <conditionalFormatting sqref="R5:R42">
    <cfRule type="cellIs" dxfId="4" priority="1" operator="lessThanOrEqual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C2:V43"/>
  <sheetViews>
    <sheetView workbookViewId="0"/>
  </sheetViews>
  <sheetFormatPr baseColWidth="10" defaultRowHeight="15"/>
  <cols>
    <col min="1" max="1" width="5.7109375" customWidth="1"/>
    <col min="2" max="2" width="0" hidden="1" customWidth="1"/>
    <col min="3" max="3" width="20.7109375" hidden="1" customWidth="1"/>
    <col min="4" max="4" width="20.7109375" style="1" hidden="1" customWidth="1"/>
    <col min="5" max="5" width="13.28515625" hidden="1" customWidth="1"/>
    <col min="6" max="6" width="10.42578125" style="2" hidden="1" customWidth="1"/>
    <col min="7" max="7" width="25.28515625" hidden="1" customWidth="1"/>
    <col min="8" max="8" width="17.7109375" customWidth="1"/>
    <col min="9" max="9" width="8.7109375" customWidth="1"/>
    <col min="10" max="10" width="24.140625" customWidth="1"/>
    <col min="11" max="11" width="8.7109375" customWidth="1"/>
    <col min="12" max="12" width="10.7109375" bestFit="1" customWidth="1"/>
    <col min="13" max="13" width="8.7109375" customWidth="1"/>
    <col min="14" max="14" width="10.28515625" bestFit="1" customWidth="1"/>
    <col min="15" max="15" width="8.7109375" customWidth="1"/>
    <col min="16" max="16" width="11.42578125" customWidth="1"/>
    <col min="17" max="17" width="11.7109375" customWidth="1"/>
    <col min="18" max="18" width="12.5703125" bestFit="1" customWidth="1"/>
    <col min="19" max="19" width="6.7109375" customWidth="1"/>
    <col min="20" max="20" width="13.28515625" bestFit="1" customWidth="1"/>
    <col min="21" max="21" width="11.5703125" bestFit="1" customWidth="1"/>
    <col min="22" max="22" width="17.140625" bestFit="1" customWidth="1"/>
    <col min="23" max="23" width="20.7109375" customWidth="1"/>
    <col min="24" max="24" width="14.7109375" customWidth="1"/>
    <col min="25" max="25" width="16.28515625" bestFit="1" customWidth="1"/>
    <col min="27" max="27" width="18.7109375" bestFit="1" customWidth="1"/>
  </cols>
  <sheetData>
    <row r="2" spans="8:22">
      <c r="I2" s="418" t="s">
        <v>134</v>
      </c>
      <c r="J2" s="418"/>
      <c r="K2" s="418"/>
      <c r="L2" s="418"/>
      <c r="M2" s="418"/>
      <c r="N2" s="418"/>
      <c r="O2" s="418"/>
      <c r="P2" s="418"/>
      <c r="Q2" s="418"/>
      <c r="R2" s="418"/>
      <c r="T2" s="43"/>
    </row>
    <row r="3" spans="8:22">
      <c r="I3" s="11"/>
      <c r="J3" s="11"/>
      <c r="K3" s="428" t="s">
        <v>58</v>
      </c>
      <c r="L3" s="429"/>
      <c r="M3" s="429"/>
      <c r="N3" s="430"/>
      <c r="O3" s="428" t="s">
        <v>59</v>
      </c>
      <c r="P3" s="430"/>
      <c r="Q3" s="11"/>
      <c r="R3" s="11"/>
      <c r="T3" s="43"/>
    </row>
    <row r="4" spans="8:22" ht="40.5">
      <c r="I4" s="12" t="s">
        <v>11</v>
      </c>
      <c r="J4" s="12" t="s">
        <v>3</v>
      </c>
      <c r="K4" s="64" t="s">
        <v>23</v>
      </c>
      <c r="L4" s="64" t="s">
        <v>77</v>
      </c>
      <c r="M4" s="13" t="s">
        <v>23</v>
      </c>
      <c r="N4" s="13" t="s">
        <v>135</v>
      </c>
      <c r="O4" s="13" t="s">
        <v>23</v>
      </c>
      <c r="P4" s="13" t="s">
        <v>136</v>
      </c>
      <c r="Q4" s="13" t="s">
        <v>137</v>
      </c>
      <c r="R4" s="14" t="s">
        <v>60</v>
      </c>
      <c r="S4" s="7"/>
      <c r="T4" s="43"/>
    </row>
    <row r="5" spans="8:22">
      <c r="I5" s="16" t="s">
        <v>61</v>
      </c>
      <c r="J5" s="17" t="s">
        <v>62</v>
      </c>
      <c r="K5" s="18"/>
      <c r="L5" s="19">
        <f>+K5*3</f>
        <v>0</v>
      </c>
      <c r="M5" s="20">
        <v>3</v>
      </c>
      <c r="N5" s="21">
        <v>0</v>
      </c>
      <c r="O5" s="22"/>
      <c r="P5" s="23"/>
      <c r="Q5" s="24"/>
      <c r="R5" s="134">
        <f>+L5+N5+P5+Q5</f>
        <v>0</v>
      </c>
      <c r="S5" s="7"/>
      <c r="T5" s="26"/>
    </row>
    <row r="6" spans="8:22">
      <c r="I6" s="27" t="s">
        <v>4</v>
      </c>
      <c r="J6" s="28" t="s">
        <v>12</v>
      </c>
      <c r="K6" s="18"/>
      <c r="L6" s="21">
        <f>+K6*3</f>
        <v>0</v>
      </c>
      <c r="M6" s="20">
        <v>2</v>
      </c>
      <c r="N6" s="21">
        <v>0</v>
      </c>
      <c r="O6" s="22"/>
      <c r="P6" s="23"/>
      <c r="Q6" s="24"/>
      <c r="R6" s="124">
        <f t="shared" ref="R6:R30" si="0">+L6+N6+P6+Q6</f>
        <v>0</v>
      </c>
      <c r="S6" s="7"/>
    </row>
    <row r="7" spans="8:22">
      <c r="I7" s="27" t="s">
        <v>1</v>
      </c>
      <c r="J7" s="30" t="s">
        <v>56</v>
      </c>
      <c r="K7" s="18"/>
      <c r="L7" s="21">
        <f>+K7*3</f>
        <v>0</v>
      </c>
      <c r="M7" s="20">
        <v>3</v>
      </c>
      <c r="N7" s="21">
        <v>0</v>
      </c>
      <c r="O7" s="36"/>
      <c r="P7" s="31">
        <f>IF(O7&gt;25,150,(O7)*6)</f>
        <v>0</v>
      </c>
      <c r="Q7" s="32"/>
      <c r="R7" s="124">
        <f t="shared" si="0"/>
        <v>0</v>
      </c>
      <c r="S7" s="7"/>
      <c r="T7" s="26"/>
      <c r="U7" s="426">
        <f ca="1">+TODAY()</f>
        <v>43292</v>
      </c>
      <c r="V7" s="427"/>
    </row>
    <row r="8" spans="8:22">
      <c r="I8" s="113" t="s">
        <v>2</v>
      </c>
      <c r="J8" s="114" t="s">
        <v>47</v>
      </c>
      <c r="K8" s="115"/>
      <c r="L8" s="116"/>
      <c r="M8" s="117"/>
      <c r="N8" s="21">
        <f>+M8*3</f>
        <v>0</v>
      </c>
      <c r="O8" s="117">
        <v>34</v>
      </c>
      <c r="P8" s="31">
        <f>IF(O8&gt;25,150,(O8)*6)</f>
        <v>150</v>
      </c>
      <c r="Q8" s="32"/>
      <c r="R8" s="131">
        <f t="shared" si="0"/>
        <v>150</v>
      </c>
      <c r="S8" s="7"/>
      <c r="T8" s="26"/>
    </row>
    <row r="9" spans="8:22">
      <c r="I9" s="27" t="s">
        <v>0</v>
      </c>
      <c r="J9" s="28" t="s">
        <v>7</v>
      </c>
      <c r="K9" s="18"/>
      <c r="L9" s="21">
        <f>+K9*5</f>
        <v>0</v>
      </c>
      <c r="M9" s="20"/>
      <c r="N9" s="21">
        <f>5*M9</f>
        <v>0</v>
      </c>
      <c r="O9" s="22"/>
      <c r="P9" s="23">
        <v>0</v>
      </c>
      <c r="Q9" s="24"/>
      <c r="R9" s="124">
        <f t="shared" si="0"/>
        <v>0</v>
      </c>
      <c r="S9" s="7"/>
      <c r="T9" s="26"/>
    </row>
    <row r="10" spans="8:22">
      <c r="I10" s="27" t="s">
        <v>5</v>
      </c>
      <c r="J10" s="30" t="s">
        <v>71</v>
      </c>
      <c r="K10" s="18"/>
      <c r="L10" s="21">
        <f>+K10*3</f>
        <v>0</v>
      </c>
      <c r="M10" s="36"/>
      <c r="N10" s="21">
        <f>+M10*5</f>
        <v>0</v>
      </c>
      <c r="O10" s="36">
        <v>27</v>
      </c>
      <c r="P10" s="31">
        <f t="shared" ref="P10:P30" si="1">IF(O10&gt;25,150,(O10)*6)</f>
        <v>150</v>
      </c>
      <c r="Q10" s="32"/>
      <c r="R10" s="131">
        <f t="shared" si="0"/>
        <v>150</v>
      </c>
      <c r="S10" s="7"/>
      <c r="T10" s="26"/>
    </row>
    <row r="11" spans="8:22">
      <c r="I11" s="27" t="s">
        <v>27</v>
      </c>
      <c r="J11" s="30" t="s">
        <v>28</v>
      </c>
      <c r="K11" s="18"/>
      <c r="L11" s="21">
        <v>0</v>
      </c>
      <c r="M11" s="36">
        <v>4</v>
      </c>
      <c r="N11" s="21">
        <f>+M11*3</f>
        <v>12</v>
      </c>
      <c r="O11" s="36"/>
      <c r="P11" s="31">
        <f t="shared" si="1"/>
        <v>0</v>
      </c>
      <c r="Q11" s="32"/>
      <c r="R11" s="131">
        <f t="shared" si="0"/>
        <v>12</v>
      </c>
      <c r="S11" s="7"/>
      <c r="T11" s="26"/>
    </row>
    <row r="12" spans="8:22">
      <c r="I12" s="27" t="s">
        <v>8</v>
      </c>
      <c r="J12" s="30" t="s">
        <v>29</v>
      </c>
      <c r="K12" s="35"/>
      <c r="L12" s="21"/>
      <c r="M12" s="36"/>
      <c r="N12" s="21">
        <f>+M12*5</f>
        <v>0</v>
      </c>
      <c r="O12" s="36"/>
      <c r="P12" s="31">
        <f t="shared" si="1"/>
        <v>0</v>
      </c>
      <c r="Q12" s="32"/>
      <c r="R12" s="131">
        <f t="shared" si="0"/>
        <v>0</v>
      </c>
      <c r="S12" s="7"/>
      <c r="T12" s="26"/>
    </row>
    <row r="13" spans="8:22">
      <c r="I13" s="27" t="s">
        <v>63</v>
      </c>
      <c r="J13" s="30" t="s">
        <v>33</v>
      </c>
      <c r="K13" s="35"/>
      <c r="L13" s="21"/>
      <c r="M13" s="36"/>
      <c r="N13" s="21">
        <f>+M13*3</f>
        <v>0</v>
      </c>
      <c r="O13" s="36"/>
      <c r="P13" s="31">
        <f t="shared" si="1"/>
        <v>0</v>
      </c>
      <c r="Q13" s="32"/>
      <c r="R13" s="131">
        <f t="shared" si="0"/>
        <v>0</v>
      </c>
      <c r="S13" s="7"/>
      <c r="T13" s="26"/>
    </row>
    <row r="14" spans="8:22">
      <c r="I14" s="27" t="s">
        <v>24</v>
      </c>
      <c r="J14" s="30" t="s">
        <v>30</v>
      </c>
      <c r="K14" s="18"/>
      <c r="L14" s="21">
        <v>0</v>
      </c>
      <c r="M14" s="20"/>
      <c r="N14" s="21">
        <f>+M14*3</f>
        <v>0</v>
      </c>
      <c r="O14" s="36">
        <v>26</v>
      </c>
      <c r="P14" s="31">
        <f t="shared" si="1"/>
        <v>150</v>
      </c>
      <c r="Q14" s="32"/>
      <c r="R14" s="124">
        <f t="shared" si="0"/>
        <v>150</v>
      </c>
      <c r="S14" s="7"/>
      <c r="T14" s="137">
        <v>860</v>
      </c>
      <c r="U14" s="138">
        <v>111.8</v>
      </c>
      <c r="V14" s="139">
        <v>748.2</v>
      </c>
    </row>
    <row r="15" spans="8:22">
      <c r="I15" s="27" t="s">
        <v>18</v>
      </c>
      <c r="J15" s="28" t="s">
        <v>72</v>
      </c>
      <c r="K15" s="18"/>
      <c r="L15" s="21">
        <f>+K15*3</f>
        <v>0</v>
      </c>
      <c r="M15" s="20">
        <v>4</v>
      </c>
      <c r="N15" s="21">
        <f>+M15*3</f>
        <v>12</v>
      </c>
      <c r="O15" s="36"/>
      <c r="P15" s="31">
        <f t="shared" si="1"/>
        <v>0</v>
      </c>
      <c r="Q15" s="24"/>
      <c r="R15" s="124">
        <f t="shared" si="0"/>
        <v>12</v>
      </c>
      <c r="S15" s="7"/>
      <c r="T15" s="140">
        <f>+U15+V15</f>
        <v>827.58620689655174</v>
      </c>
      <c r="U15" s="5">
        <f>+U14*V15/V14</f>
        <v>107.58620689655172</v>
      </c>
      <c r="V15" s="141">
        <v>720</v>
      </c>
    </row>
    <row r="16" spans="8:22">
      <c r="H16" s="82" t="s">
        <v>84</v>
      </c>
      <c r="I16" s="83" t="s">
        <v>6</v>
      </c>
      <c r="J16" s="84" t="s">
        <v>99</v>
      </c>
      <c r="K16" s="85"/>
      <c r="L16" s="86">
        <f>+K16*3</f>
        <v>0</v>
      </c>
      <c r="M16" s="87"/>
      <c r="N16" s="86">
        <f t="shared" ref="N16:N34" si="2">+M16*3</f>
        <v>0</v>
      </c>
      <c r="O16" s="88"/>
      <c r="P16" s="89">
        <f t="shared" si="1"/>
        <v>0</v>
      </c>
      <c r="Q16" s="90"/>
      <c r="R16" s="135">
        <f t="shared" si="0"/>
        <v>0</v>
      </c>
      <c r="S16" s="7"/>
      <c r="T16" s="142">
        <f>+T14-T15</f>
        <v>32.413793103448256</v>
      </c>
      <c r="U16" s="5"/>
      <c r="V16" s="143"/>
    </row>
    <row r="17" spans="8:22">
      <c r="I17" s="27" t="s">
        <v>31</v>
      </c>
      <c r="J17" s="30" t="s">
        <v>32</v>
      </c>
      <c r="K17" s="35"/>
      <c r="L17" s="21"/>
      <c r="M17" s="36"/>
      <c r="N17" s="21">
        <f t="shared" si="2"/>
        <v>0</v>
      </c>
      <c r="O17" s="36">
        <v>1</v>
      </c>
      <c r="P17" s="31">
        <f t="shared" si="1"/>
        <v>6</v>
      </c>
      <c r="Q17" s="32"/>
      <c r="R17" s="124">
        <f t="shared" si="0"/>
        <v>6</v>
      </c>
      <c r="S17" s="7"/>
      <c r="T17" s="144">
        <v>150</v>
      </c>
      <c r="U17" s="145">
        <f>+T17-T16</f>
        <v>117.58620689655174</v>
      </c>
      <c r="V17" s="8"/>
    </row>
    <row r="18" spans="8:22">
      <c r="I18" s="27" t="s">
        <v>54</v>
      </c>
      <c r="J18" s="30" t="s">
        <v>55</v>
      </c>
      <c r="K18" s="18"/>
      <c r="L18" s="21">
        <f>+K18*3</f>
        <v>0</v>
      </c>
      <c r="M18" s="20"/>
      <c r="N18" s="21">
        <f t="shared" si="2"/>
        <v>0</v>
      </c>
      <c r="O18" s="36"/>
      <c r="P18" s="31">
        <f t="shared" si="1"/>
        <v>0</v>
      </c>
      <c r="Q18" s="32"/>
      <c r="R18" s="124">
        <f t="shared" si="0"/>
        <v>0</v>
      </c>
      <c r="S18" s="7"/>
      <c r="T18" s="26"/>
    </row>
    <row r="19" spans="8:22">
      <c r="I19" s="113" t="s">
        <v>10</v>
      </c>
      <c r="J19" s="114" t="s">
        <v>34</v>
      </c>
      <c r="K19" s="115"/>
      <c r="L19" s="116"/>
      <c r="M19" s="117"/>
      <c r="N19" s="116">
        <f t="shared" si="2"/>
        <v>0</v>
      </c>
      <c r="O19" s="117">
        <v>21</v>
      </c>
      <c r="P19" s="31">
        <f t="shared" si="1"/>
        <v>126</v>
      </c>
      <c r="Q19" s="32"/>
      <c r="R19" s="131">
        <f t="shared" si="0"/>
        <v>126</v>
      </c>
      <c r="S19" s="7"/>
      <c r="T19" s="137">
        <v>828</v>
      </c>
      <c r="U19" s="138">
        <v>107.64</v>
      </c>
      <c r="V19" s="139">
        <v>720.36</v>
      </c>
    </row>
    <row r="20" spans="8:22">
      <c r="I20" s="113" t="s">
        <v>9</v>
      </c>
      <c r="J20" s="114" t="s">
        <v>35</v>
      </c>
      <c r="K20" s="115"/>
      <c r="L20" s="116"/>
      <c r="M20" s="117"/>
      <c r="N20" s="116">
        <f t="shared" si="2"/>
        <v>0</v>
      </c>
      <c r="O20" s="117">
        <v>40</v>
      </c>
      <c r="P20" s="31">
        <f t="shared" si="1"/>
        <v>150</v>
      </c>
      <c r="Q20" s="32"/>
      <c r="R20" s="131">
        <f t="shared" si="0"/>
        <v>150</v>
      </c>
      <c r="S20" s="7"/>
      <c r="T20" s="140">
        <f>+U20+V20</f>
        <v>827.58620689655174</v>
      </c>
      <c r="U20" s="5">
        <f>+U19*V20/V19</f>
        <v>107.58620689655173</v>
      </c>
      <c r="V20" s="141">
        <v>720</v>
      </c>
    </row>
    <row r="21" spans="8:22">
      <c r="I21" s="27" t="s">
        <v>36</v>
      </c>
      <c r="J21" s="30" t="s">
        <v>37</v>
      </c>
      <c r="K21" s="35"/>
      <c r="L21" s="21"/>
      <c r="M21" s="36"/>
      <c r="N21" s="21">
        <f t="shared" si="2"/>
        <v>0</v>
      </c>
      <c r="O21" s="36">
        <v>29</v>
      </c>
      <c r="P21" s="31">
        <f t="shared" si="1"/>
        <v>150</v>
      </c>
      <c r="Q21" s="32"/>
      <c r="R21" s="124">
        <f t="shared" si="0"/>
        <v>150</v>
      </c>
      <c r="S21" s="7"/>
      <c r="T21" s="142">
        <f>+T19-T20</f>
        <v>0.41379310344825626</v>
      </c>
      <c r="U21" s="5"/>
      <c r="V21" s="143"/>
    </row>
    <row r="22" spans="8:22">
      <c r="I22" s="27" t="s">
        <v>64</v>
      </c>
      <c r="J22" s="30" t="s">
        <v>65</v>
      </c>
      <c r="K22" s="35"/>
      <c r="L22" s="21"/>
      <c r="M22" s="36"/>
      <c r="N22" s="21">
        <f t="shared" si="2"/>
        <v>0</v>
      </c>
      <c r="O22" s="36">
        <v>32</v>
      </c>
      <c r="P22" s="31">
        <f t="shared" si="1"/>
        <v>150</v>
      </c>
      <c r="Q22" s="32"/>
      <c r="R22" s="124">
        <f t="shared" si="0"/>
        <v>150</v>
      </c>
      <c r="S22" s="7"/>
      <c r="T22" s="144">
        <v>150</v>
      </c>
      <c r="U22" s="145">
        <f>+T22-T21</f>
        <v>149.58620689655174</v>
      </c>
      <c r="V22" s="8"/>
    </row>
    <row r="23" spans="8:22">
      <c r="I23" s="27" t="s">
        <v>13</v>
      </c>
      <c r="J23" s="30" t="s">
        <v>38</v>
      </c>
      <c r="K23" s="35"/>
      <c r="L23" s="21"/>
      <c r="M23" s="36"/>
      <c r="N23" s="21">
        <f t="shared" si="2"/>
        <v>0</v>
      </c>
      <c r="O23" s="36">
        <v>1</v>
      </c>
      <c r="P23" s="31">
        <f t="shared" si="1"/>
        <v>6</v>
      </c>
      <c r="Q23" s="32"/>
      <c r="R23" s="124">
        <f t="shared" si="0"/>
        <v>6</v>
      </c>
      <c r="S23" s="7"/>
      <c r="T23" s="26"/>
    </row>
    <row r="24" spans="8:22">
      <c r="I24" s="27" t="s">
        <v>39</v>
      </c>
      <c r="J24" s="30" t="s">
        <v>40</v>
      </c>
      <c r="K24" s="35"/>
      <c r="L24" s="21"/>
      <c r="M24" s="36"/>
      <c r="N24" s="21">
        <f t="shared" si="2"/>
        <v>0</v>
      </c>
      <c r="O24" s="36"/>
      <c r="P24" s="31">
        <f t="shared" si="1"/>
        <v>0</v>
      </c>
      <c r="Q24" s="32"/>
      <c r="R24" s="124">
        <f t="shared" si="0"/>
        <v>0</v>
      </c>
      <c r="S24" s="7"/>
      <c r="T24" s="78"/>
    </row>
    <row r="25" spans="8:22">
      <c r="H25" s="82" t="s">
        <v>84</v>
      </c>
      <c r="I25" s="83" t="s">
        <v>19</v>
      </c>
      <c r="J25" s="84" t="s">
        <v>20</v>
      </c>
      <c r="K25" s="85"/>
      <c r="L25" s="86">
        <f>+K25*3</f>
        <v>0</v>
      </c>
      <c r="M25" s="87"/>
      <c r="N25" s="86">
        <f t="shared" si="2"/>
        <v>0</v>
      </c>
      <c r="O25" s="88"/>
      <c r="P25" s="89">
        <f t="shared" si="1"/>
        <v>0</v>
      </c>
      <c r="Q25" s="90"/>
      <c r="R25" s="135">
        <f t="shared" si="0"/>
        <v>0</v>
      </c>
      <c r="S25" s="7"/>
      <c r="T25" s="26"/>
    </row>
    <row r="26" spans="8:22">
      <c r="I26" s="27" t="s">
        <v>41</v>
      </c>
      <c r="J26" s="30" t="s">
        <v>42</v>
      </c>
      <c r="K26" s="35"/>
      <c r="L26" s="21"/>
      <c r="M26" s="36"/>
      <c r="N26" s="21">
        <f t="shared" si="2"/>
        <v>0</v>
      </c>
      <c r="O26" s="36">
        <v>38</v>
      </c>
      <c r="P26" s="31">
        <f t="shared" si="1"/>
        <v>150</v>
      </c>
      <c r="Q26" s="32"/>
      <c r="R26" s="124">
        <f t="shared" si="0"/>
        <v>150</v>
      </c>
      <c r="S26" s="7"/>
      <c r="T26" s="26"/>
    </row>
    <row r="27" spans="8:22">
      <c r="I27" s="27" t="s">
        <v>26</v>
      </c>
      <c r="J27" s="30" t="s">
        <v>48</v>
      </c>
      <c r="K27" s="18"/>
      <c r="L27" s="21">
        <v>0</v>
      </c>
      <c r="M27" s="20"/>
      <c r="N27" s="21">
        <f t="shared" si="2"/>
        <v>0</v>
      </c>
      <c r="O27" s="36">
        <v>33</v>
      </c>
      <c r="P27" s="31">
        <f t="shared" si="1"/>
        <v>150</v>
      </c>
      <c r="Q27" s="32"/>
      <c r="R27" s="124">
        <f t="shared" si="0"/>
        <v>150</v>
      </c>
      <c r="S27" s="7"/>
      <c r="T27" s="26"/>
    </row>
    <row r="28" spans="8:22">
      <c r="I28" s="27" t="s">
        <v>67</v>
      </c>
      <c r="J28" s="28" t="s">
        <v>68</v>
      </c>
      <c r="K28" s="18"/>
      <c r="L28" s="21">
        <v>0</v>
      </c>
      <c r="M28" s="20"/>
      <c r="N28" s="21">
        <f t="shared" si="2"/>
        <v>0</v>
      </c>
      <c r="O28" s="22"/>
      <c r="P28" s="31">
        <f t="shared" si="1"/>
        <v>0</v>
      </c>
      <c r="Q28" s="24"/>
      <c r="R28" s="124">
        <f t="shared" si="0"/>
        <v>0</v>
      </c>
      <c r="S28" s="7"/>
      <c r="T28" s="26"/>
    </row>
    <row r="29" spans="8:22">
      <c r="I29" s="27" t="s">
        <v>21</v>
      </c>
      <c r="J29" s="28" t="s">
        <v>22</v>
      </c>
      <c r="K29" s="18"/>
      <c r="L29" s="21">
        <v>0</v>
      </c>
      <c r="M29" s="20"/>
      <c r="N29" s="21">
        <f t="shared" si="2"/>
        <v>0</v>
      </c>
      <c r="O29" s="36">
        <v>35</v>
      </c>
      <c r="P29" s="31">
        <f t="shared" si="1"/>
        <v>150</v>
      </c>
      <c r="Q29" s="24"/>
      <c r="R29" s="124">
        <f t="shared" si="0"/>
        <v>150</v>
      </c>
      <c r="S29" s="7"/>
      <c r="T29" s="26"/>
    </row>
    <row r="30" spans="8:22">
      <c r="I30" s="27" t="s">
        <v>43</v>
      </c>
      <c r="J30" s="28" t="s">
        <v>73</v>
      </c>
      <c r="K30" s="18"/>
      <c r="L30" s="21">
        <v>0</v>
      </c>
      <c r="M30" s="20"/>
      <c r="N30" s="21">
        <f t="shared" si="2"/>
        <v>0</v>
      </c>
      <c r="O30" s="36">
        <v>1</v>
      </c>
      <c r="P30" s="31">
        <f t="shared" si="1"/>
        <v>6</v>
      </c>
      <c r="Q30" s="24"/>
      <c r="R30" s="124">
        <f t="shared" si="0"/>
        <v>6</v>
      </c>
      <c r="S30" s="7"/>
      <c r="T30" s="26"/>
    </row>
    <row r="31" spans="8:22">
      <c r="I31" s="27" t="s">
        <v>44</v>
      </c>
      <c r="J31" s="30" t="s">
        <v>45</v>
      </c>
      <c r="K31" s="27"/>
      <c r="L31" s="21">
        <f>+K31*3</f>
        <v>0</v>
      </c>
      <c r="M31" s="36"/>
      <c r="N31" s="21">
        <f t="shared" si="2"/>
        <v>0</v>
      </c>
      <c r="O31" s="36">
        <v>25</v>
      </c>
      <c r="P31" s="31">
        <f>IF(O31&gt;25,150,(O31)*6)</f>
        <v>150</v>
      </c>
      <c r="Q31" s="32"/>
      <c r="R31" s="124">
        <f>+L31+N31+P31+Q31</f>
        <v>150</v>
      </c>
      <c r="S31" s="130"/>
      <c r="T31" s="26"/>
    </row>
    <row r="32" spans="8:22">
      <c r="I32" s="153" t="s">
        <v>14</v>
      </c>
      <c r="J32" s="154" t="s">
        <v>66</v>
      </c>
      <c r="K32" s="155"/>
      <c r="L32" s="156">
        <f>+K32*3</f>
        <v>0</v>
      </c>
      <c r="M32" s="157"/>
      <c r="N32" s="46">
        <f t="shared" si="2"/>
        <v>0</v>
      </c>
      <c r="O32" s="158">
        <v>27</v>
      </c>
      <c r="P32" s="61">
        <f>IF(O32&gt;25,150,(O32)*6)</f>
        <v>150</v>
      </c>
      <c r="Q32" s="62"/>
      <c r="R32" s="126">
        <f>+L32+N32+P32+Q32</f>
        <v>150</v>
      </c>
      <c r="S32" s="159" t="s">
        <v>138</v>
      </c>
      <c r="T32" s="26"/>
    </row>
    <row r="33" spans="9:20">
      <c r="I33" s="27" t="s">
        <v>15</v>
      </c>
      <c r="J33" s="28" t="s">
        <v>16</v>
      </c>
      <c r="K33" s="18"/>
      <c r="L33" s="21">
        <f>+K33*3</f>
        <v>0</v>
      </c>
      <c r="M33" s="20">
        <v>3</v>
      </c>
      <c r="N33" s="21">
        <v>0</v>
      </c>
      <c r="O33" s="36"/>
      <c r="P33" s="23">
        <f t="shared" ref="P33:P40" si="3">IF(O33&gt;25,150,(O33)*6)</f>
        <v>0</v>
      </c>
      <c r="Q33" s="24"/>
      <c r="R33" s="124">
        <f>+L33+N33+P33+Q33</f>
        <v>0</v>
      </c>
      <c r="S33" s="130"/>
      <c r="T33" s="26"/>
    </row>
    <row r="34" spans="9:20">
      <c r="I34" s="27" t="s">
        <v>17</v>
      </c>
      <c r="J34" s="30" t="s">
        <v>119</v>
      </c>
      <c r="K34" s="35"/>
      <c r="L34" s="21"/>
      <c r="M34" s="36"/>
      <c r="N34" s="21">
        <f t="shared" si="2"/>
        <v>0</v>
      </c>
      <c r="O34" s="36"/>
      <c r="P34" s="31">
        <f t="shared" si="3"/>
        <v>0</v>
      </c>
      <c r="Q34" s="32"/>
      <c r="R34" s="124">
        <f>+L34+N34+P34+Q34</f>
        <v>0</v>
      </c>
      <c r="S34" s="130"/>
      <c r="T34" s="26"/>
    </row>
    <row r="35" spans="9:20">
      <c r="I35" s="113" t="s">
        <v>75</v>
      </c>
      <c r="J35" s="114" t="s">
        <v>76</v>
      </c>
      <c r="K35" s="115"/>
      <c r="L35" s="116"/>
      <c r="M35" s="117"/>
      <c r="N35" s="116">
        <f>+M35*3</f>
        <v>0</v>
      </c>
      <c r="O35" s="117">
        <v>2</v>
      </c>
      <c r="P35" s="31">
        <f t="shared" si="3"/>
        <v>12</v>
      </c>
      <c r="Q35" s="32"/>
      <c r="R35" s="131">
        <f>+L35+N35+P35+Q35</f>
        <v>12</v>
      </c>
      <c r="S35" s="130"/>
      <c r="T35" s="26"/>
    </row>
    <row r="36" spans="9:20">
      <c r="I36" s="113" t="s">
        <v>69</v>
      </c>
      <c r="J36" s="114" t="s">
        <v>70</v>
      </c>
      <c r="K36" s="115"/>
      <c r="L36" s="116">
        <v>0</v>
      </c>
      <c r="M36" s="117"/>
      <c r="N36" s="116">
        <f>+M36*3</f>
        <v>0</v>
      </c>
      <c r="O36" s="117">
        <v>23</v>
      </c>
      <c r="P36" s="31">
        <f t="shared" si="3"/>
        <v>138</v>
      </c>
      <c r="Q36" s="32"/>
      <c r="R36" s="131">
        <f t="shared" ref="R36:R41" si="4">+L36+N36+P36+Q36</f>
        <v>138</v>
      </c>
      <c r="S36" s="130"/>
      <c r="T36" s="26"/>
    </row>
    <row r="37" spans="9:20">
      <c r="I37" s="27" t="s">
        <v>91</v>
      </c>
      <c r="J37" s="30" t="s">
        <v>92</v>
      </c>
      <c r="K37" s="35"/>
      <c r="L37" s="21">
        <v>0</v>
      </c>
      <c r="M37" s="36"/>
      <c r="N37" s="21">
        <f>+M37*3</f>
        <v>0</v>
      </c>
      <c r="O37" s="36">
        <v>34</v>
      </c>
      <c r="P37" s="31">
        <f t="shared" si="3"/>
        <v>150</v>
      </c>
      <c r="Q37" s="32"/>
      <c r="R37" s="124">
        <f t="shared" si="4"/>
        <v>150</v>
      </c>
      <c r="S37" s="130"/>
      <c r="T37" s="26"/>
    </row>
    <row r="38" spans="9:20">
      <c r="I38" s="27" t="s">
        <v>93</v>
      </c>
      <c r="J38" s="28" t="s">
        <v>94</v>
      </c>
      <c r="K38" s="18"/>
      <c r="L38" s="21">
        <v>0</v>
      </c>
      <c r="M38" s="20"/>
      <c r="N38" s="21">
        <f>+M38*3</f>
        <v>0</v>
      </c>
      <c r="O38" s="36"/>
      <c r="P38" s="31">
        <f t="shared" si="3"/>
        <v>0</v>
      </c>
      <c r="Q38" s="24"/>
      <c r="R38" s="124">
        <f t="shared" si="4"/>
        <v>0</v>
      </c>
      <c r="S38" s="7"/>
      <c r="T38" s="26"/>
    </row>
    <row r="39" spans="9:20">
      <c r="I39" s="27" t="s">
        <v>120</v>
      </c>
      <c r="J39" s="28" t="s">
        <v>121</v>
      </c>
      <c r="K39" s="18"/>
      <c r="L39" s="21">
        <v>0</v>
      </c>
      <c r="M39" s="20">
        <v>3</v>
      </c>
      <c r="N39" s="21">
        <v>0</v>
      </c>
      <c r="O39" s="36"/>
      <c r="P39" s="31">
        <f t="shared" si="3"/>
        <v>0</v>
      </c>
      <c r="Q39" s="24"/>
      <c r="R39" s="124">
        <f t="shared" si="4"/>
        <v>0</v>
      </c>
      <c r="S39" s="7"/>
      <c r="T39" s="26"/>
    </row>
    <row r="40" spans="9:20">
      <c r="I40" s="38" t="s">
        <v>125</v>
      </c>
      <c r="J40" s="50" t="s">
        <v>126</v>
      </c>
      <c r="K40" s="51"/>
      <c r="L40" s="52">
        <v>0</v>
      </c>
      <c r="M40" s="53"/>
      <c r="N40" s="52">
        <f>+M40*5</f>
        <v>0</v>
      </c>
      <c r="O40" s="79"/>
      <c r="P40" s="54">
        <f t="shared" si="3"/>
        <v>0</v>
      </c>
      <c r="Q40" s="55"/>
      <c r="R40" s="132">
        <f t="shared" si="4"/>
        <v>0</v>
      </c>
      <c r="S40" s="7"/>
      <c r="T40" s="26"/>
    </row>
    <row r="41" spans="9:20">
      <c r="I41" s="41"/>
      <c r="J41" s="42"/>
      <c r="K41" s="65">
        <f t="shared" ref="K41:Q41" si="5">SUM(K5:K40)</f>
        <v>0</v>
      </c>
      <c r="L41" s="66">
        <f t="shared" si="5"/>
        <v>0</v>
      </c>
      <c r="M41" s="56">
        <f t="shared" si="5"/>
        <v>22</v>
      </c>
      <c r="N41" s="58">
        <f t="shared" si="5"/>
        <v>24</v>
      </c>
      <c r="O41" s="56">
        <f t="shared" si="5"/>
        <v>429</v>
      </c>
      <c r="P41" s="58">
        <f t="shared" si="5"/>
        <v>2094</v>
      </c>
      <c r="Q41" s="58">
        <f t="shared" si="5"/>
        <v>0</v>
      </c>
      <c r="R41" s="57">
        <f t="shared" si="4"/>
        <v>2118</v>
      </c>
      <c r="S41" s="133"/>
      <c r="T41" s="26"/>
    </row>
    <row r="42" spans="9:20">
      <c r="N42" s="110" t="s">
        <v>105</v>
      </c>
      <c r="O42" s="112">
        <f>+O43-O41</f>
        <v>1</v>
      </c>
      <c r="P42" s="150">
        <f>+P43-P41</f>
        <v>-132</v>
      </c>
    </row>
    <row r="43" spans="9:20">
      <c r="N43" s="111" t="s">
        <v>106</v>
      </c>
      <c r="O43" s="112">
        <v>430</v>
      </c>
      <c r="P43" s="150">
        <v>1962</v>
      </c>
      <c r="Q43" s="151" t="s">
        <v>133</v>
      </c>
      <c r="R43" s="152">
        <f>+R41-R40</f>
        <v>2118</v>
      </c>
    </row>
  </sheetData>
  <mergeCells count="4">
    <mergeCell ref="I2:R2"/>
    <mergeCell ref="K3:N3"/>
    <mergeCell ref="O3:P3"/>
    <mergeCell ref="U7:V7"/>
  </mergeCells>
  <conditionalFormatting sqref="R5:R41">
    <cfRule type="cellIs" dxfId="3" priority="1" operator="lessThanOrEqual">
      <formula>0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C2:W534"/>
  <sheetViews>
    <sheetView topLeftCell="A405" workbookViewId="0">
      <selection activeCell="A405" sqref="A405"/>
    </sheetView>
  </sheetViews>
  <sheetFormatPr baseColWidth="10" defaultRowHeight="15"/>
  <cols>
    <col min="1" max="1" width="5.7109375" customWidth="1"/>
    <col min="2" max="2" width="0" hidden="1" customWidth="1"/>
    <col min="3" max="3" width="20.7109375" hidden="1" customWidth="1"/>
    <col min="4" max="4" width="20.7109375" style="1" hidden="1" customWidth="1"/>
    <col min="5" max="5" width="13.28515625" hidden="1" customWidth="1"/>
    <col min="6" max="6" width="10.42578125" style="2" hidden="1" customWidth="1"/>
    <col min="7" max="7" width="25.28515625" hidden="1" customWidth="1"/>
    <col min="8" max="8" width="17.7109375" customWidth="1"/>
    <col min="9" max="9" width="8.7109375" customWidth="1"/>
    <col min="10" max="10" width="24.140625" customWidth="1"/>
    <col min="11" max="11" width="8.7109375" customWidth="1"/>
    <col min="12" max="12" width="10.7109375" bestFit="1" customWidth="1"/>
    <col min="13" max="13" width="8.7109375" customWidth="1"/>
    <col min="14" max="14" width="10.28515625" bestFit="1" customWidth="1"/>
    <col min="15" max="15" width="8.7109375" customWidth="1"/>
    <col min="16" max="16" width="11.42578125" customWidth="1"/>
    <col min="17" max="17" width="11.7109375" customWidth="1"/>
    <col min="18" max="18" width="12.5703125" bestFit="1" customWidth="1"/>
    <col min="19" max="19" width="6.7109375" customWidth="1"/>
    <col min="20" max="20" width="13.28515625" bestFit="1" customWidth="1"/>
    <col min="21" max="21" width="11.5703125" bestFit="1" customWidth="1"/>
    <col min="22" max="22" width="17.140625" bestFit="1" customWidth="1"/>
    <col min="23" max="23" width="20.7109375" customWidth="1"/>
    <col min="24" max="24" width="14.7109375" customWidth="1"/>
    <col min="25" max="25" width="16.28515625" bestFit="1" customWidth="1"/>
    <col min="27" max="27" width="18.7109375" bestFit="1" customWidth="1"/>
  </cols>
  <sheetData>
    <row r="2" spans="9:22">
      <c r="I2" s="418" t="s">
        <v>79</v>
      </c>
      <c r="J2" s="418"/>
      <c r="K2" s="418"/>
      <c r="L2" s="418"/>
      <c r="M2" s="418"/>
      <c r="N2" s="418"/>
      <c r="O2" s="418"/>
      <c r="P2" s="418"/>
      <c r="Q2" s="418"/>
      <c r="R2" s="418"/>
      <c r="T2" s="43"/>
    </row>
    <row r="3" spans="9:22">
      <c r="I3" s="11"/>
      <c r="J3" s="11"/>
      <c r="K3" s="428" t="s">
        <v>58</v>
      </c>
      <c r="L3" s="429"/>
      <c r="M3" s="429"/>
      <c r="N3" s="430"/>
      <c r="O3" s="428" t="s">
        <v>59</v>
      </c>
      <c r="P3" s="430"/>
      <c r="Q3" s="11"/>
      <c r="R3" s="11"/>
      <c r="T3" s="43"/>
    </row>
    <row r="4" spans="9:22" ht="40.5">
      <c r="I4" s="12" t="s">
        <v>11</v>
      </c>
      <c r="J4" s="12" t="s">
        <v>3</v>
      </c>
      <c r="K4" s="64" t="s">
        <v>23</v>
      </c>
      <c r="L4" s="64" t="s">
        <v>77</v>
      </c>
      <c r="M4" s="13" t="s">
        <v>23</v>
      </c>
      <c r="N4" s="13" t="s">
        <v>78</v>
      </c>
      <c r="O4" s="13" t="s">
        <v>23</v>
      </c>
      <c r="P4" s="13" t="s">
        <v>80</v>
      </c>
      <c r="Q4" s="13" t="s">
        <v>81</v>
      </c>
      <c r="R4" s="14" t="s">
        <v>60</v>
      </c>
      <c r="T4" s="15" t="s">
        <v>82</v>
      </c>
    </row>
    <row r="5" spans="9:22">
      <c r="I5" s="16" t="s">
        <v>61</v>
      </c>
      <c r="J5" s="17" t="s">
        <v>62</v>
      </c>
      <c r="K5" s="18"/>
      <c r="L5" s="19">
        <f>+K5*3</f>
        <v>0</v>
      </c>
      <c r="M5" s="20"/>
      <c r="N5" s="21">
        <v>0</v>
      </c>
      <c r="O5" s="22"/>
      <c r="P5" s="23"/>
      <c r="Q5" s="24"/>
      <c r="R5" s="25">
        <f>+L5+N5+P5+Q5</f>
        <v>0</v>
      </c>
      <c r="S5" s="4"/>
      <c r="T5" s="26"/>
    </row>
    <row r="6" spans="9:22">
      <c r="I6" s="27" t="s">
        <v>4</v>
      </c>
      <c r="J6" s="28" t="s">
        <v>12</v>
      </c>
      <c r="K6" s="18"/>
      <c r="L6" s="21">
        <f>+K6*3</f>
        <v>0</v>
      </c>
      <c r="M6" s="20"/>
      <c r="N6" s="21">
        <v>0</v>
      </c>
      <c r="O6" s="22"/>
      <c r="P6" s="23"/>
      <c r="Q6" s="24"/>
      <c r="R6" s="29">
        <f t="shared" ref="R6:R36" si="0">+L6+N6+P6+Q6</f>
        <v>0</v>
      </c>
      <c r="S6" s="4"/>
    </row>
    <row r="7" spans="9:22">
      <c r="I7" s="27" t="s">
        <v>1</v>
      </c>
      <c r="J7" s="30" t="s">
        <v>56</v>
      </c>
      <c r="K7" s="18"/>
      <c r="L7" s="21">
        <f>+K7*3</f>
        <v>0</v>
      </c>
      <c r="M7" s="20"/>
      <c r="N7" s="21">
        <f>+M7*3</f>
        <v>0</v>
      </c>
      <c r="O7" s="36">
        <v>31</v>
      </c>
      <c r="P7" s="31">
        <f>IF(O7&gt;25,150,(O7)*6)</f>
        <v>150</v>
      </c>
      <c r="Q7" s="32"/>
      <c r="R7" s="29">
        <f t="shared" si="0"/>
        <v>150</v>
      </c>
      <c r="S7" s="4"/>
      <c r="T7" s="26"/>
      <c r="U7" s="426">
        <v>43109</v>
      </c>
      <c r="V7" s="427"/>
    </row>
    <row r="8" spans="9:22">
      <c r="I8" s="27" t="s">
        <v>2</v>
      </c>
      <c r="J8" s="30" t="s">
        <v>47</v>
      </c>
      <c r="K8" s="35"/>
      <c r="L8" s="21"/>
      <c r="M8" s="36"/>
      <c r="N8" s="21"/>
      <c r="O8" s="36"/>
      <c r="P8" s="31">
        <f>IF(O8&gt;25,150,(O8)*6)</f>
        <v>0</v>
      </c>
      <c r="Q8" s="32"/>
      <c r="R8" s="29">
        <f t="shared" si="0"/>
        <v>0</v>
      </c>
      <c r="S8" s="4"/>
      <c r="T8" s="26"/>
    </row>
    <row r="9" spans="9:22">
      <c r="I9" s="27" t="s">
        <v>0</v>
      </c>
      <c r="J9" s="28" t="s">
        <v>7</v>
      </c>
      <c r="K9" s="18"/>
      <c r="L9" s="21">
        <f>+K9*5</f>
        <v>0</v>
      </c>
      <c r="M9" s="20"/>
      <c r="N9" s="21">
        <f>+M9*5</f>
        <v>0</v>
      </c>
      <c r="O9" s="22"/>
      <c r="P9" s="23"/>
      <c r="Q9" s="24"/>
      <c r="R9" s="29">
        <f t="shared" si="0"/>
        <v>0</v>
      </c>
      <c r="S9" s="4"/>
      <c r="T9" s="26"/>
    </row>
    <row r="10" spans="9:22">
      <c r="I10" s="27" t="s">
        <v>5</v>
      </c>
      <c r="J10" s="30" t="s">
        <v>71</v>
      </c>
      <c r="K10" s="18"/>
      <c r="L10" s="21">
        <f>+K10*3</f>
        <v>0</v>
      </c>
      <c r="M10" s="36"/>
      <c r="N10" s="21">
        <f>+M10*3</f>
        <v>0</v>
      </c>
      <c r="O10" s="36">
        <v>16</v>
      </c>
      <c r="P10" s="31">
        <f>IF(O10&gt;25,150,(O10)*6)</f>
        <v>96</v>
      </c>
      <c r="Q10" s="32"/>
      <c r="R10" s="29">
        <f t="shared" si="0"/>
        <v>96</v>
      </c>
      <c r="S10" s="4"/>
      <c r="T10" s="26"/>
    </row>
    <row r="11" spans="9:22">
      <c r="I11" s="27" t="s">
        <v>27</v>
      </c>
      <c r="J11" s="30" t="s">
        <v>28</v>
      </c>
      <c r="K11" s="18"/>
      <c r="L11" s="21">
        <v>0</v>
      </c>
      <c r="M11" s="36"/>
      <c r="N11" s="21">
        <f>+M11*3</f>
        <v>0</v>
      </c>
      <c r="O11" s="36">
        <v>26</v>
      </c>
      <c r="P11" s="31">
        <f>IF(O11&gt;25,150,(O11)*6)</f>
        <v>150</v>
      </c>
      <c r="Q11" s="32"/>
      <c r="R11" s="29">
        <f t="shared" si="0"/>
        <v>150</v>
      </c>
      <c r="S11" s="4"/>
      <c r="T11" s="26"/>
    </row>
    <row r="12" spans="9:22">
      <c r="I12" s="27" t="s">
        <v>8</v>
      </c>
      <c r="J12" s="30" t="s">
        <v>29</v>
      </c>
      <c r="K12" s="35"/>
      <c r="L12" s="21"/>
      <c r="M12" s="36"/>
      <c r="N12" s="21"/>
      <c r="O12" s="36">
        <v>11</v>
      </c>
      <c r="P12" s="31">
        <f t="shared" ref="P12:P26" si="1">IF(O12&gt;25,150,(O12)*6)</f>
        <v>66</v>
      </c>
      <c r="Q12" s="32"/>
      <c r="R12" s="29">
        <f t="shared" si="0"/>
        <v>66</v>
      </c>
      <c r="S12" s="4"/>
      <c r="T12" s="26"/>
    </row>
    <row r="13" spans="9:22">
      <c r="I13" s="27" t="s">
        <v>25</v>
      </c>
      <c r="J13" s="30" t="s">
        <v>33</v>
      </c>
      <c r="K13" s="35"/>
      <c r="L13" s="21"/>
      <c r="M13" s="36"/>
      <c r="N13" s="21"/>
      <c r="O13" s="36">
        <v>28</v>
      </c>
      <c r="P13" s="31">
        <f t="shared" si="1"/>
        <v>150</v>
      </c>
      <c r="Q13" s="32"/>
      <c r="R13" s="29">
        <f t="shared" si="0"/>
        <v>150</v>
      </c>
      <c r="S13" s="4"/>
      <c r="T13" s="26"/>
    </row>
    <row r="14" spans="9:22">
      <c r="I14" s="33" t="s">
        <v>24</v>
      </c>
      <c r="J14" s="34" t="s">
        <v>30</v>
      </c>
      <c r="K14" s="45"/>
      <c r="L14" s="46">
        <v>0</v>
      </c>
      <c r="M14" s="47"/>
      <c r="N14" s="46">
        <v>0</v>
      </c>
      <c r="O14" s="60">
        <v>44</v>
      </c>
      <c r="P14" s="61">
        <f t="shared" si="1"/>
        <v>150</v>
      </c>
      <c r="Q14" s="62">
        <v>-32.413793103448299</v>
      </c>
      <c r="R14" s="49">
        <f t="shared" si="0"/>
        <v>117.5862068965517</v>
      </c>
      <c r="S14" s="4"/>
      <c r="T14" s="26">
        <v>860</v>
      </c>
      <c r="U14">
        <v>111.8</v>
      </c>
      <c r="V14">
        <v>748.2</v>
      </c>
    </row>
    <row r="15" spans="9:22">
      <c r="I15" s="27" t="s">
        <v>18</v>
      </c>
      <c r="J15" s="28" t="s">
        <v>72</v>
      </c>
      <c r="K15" s="18"/>
      <c r="L15" s="21">
        <f>+K15*3</f>
        <v>0</v>
      </c>
      <c r="M15" s="20"/>
      <c r="N15" s="21">
        <f>+M15*3</f>
        <v>0</v>
      </c>
      <c r="O15" s="36">
        <v>18</v>
      </c>
      <c r="P15" s="31">
        <f t="shared" si="1"/>
        <v>108</v>
      </c>
      <c r="Q15" s="24"/>
      <c r="R15" s="29">
        <f t="shared" si="0"/>
        <v>108</v>
      </c>
      <c r="S15" s="4"/>
      <c r="T15" s="26">
        <f>+U15+V15</f>
        <v>827.58620689655174</v>
      </c>
      <c r="U15">
        <f>+U14*V15/V14</f>
        <v>107.58620689655172</v>
      </c>
      <c r="V15">
        <v>720</v>
      </c>
    </row>
    <row r="16" spans="9:22">
      <c r="I16" s="33" t="s">
        <v>31</v>
      </c>
      <c r="J16" s="34" t="s">
        <v>32</v>
      </c>
      <c r="K16" s="59"/>
      <c r="L16" s="46"/>
      <c r="M16" s="60"/>
      <c r="N16" s="46"/>
      <c r="O16" s="60">
        <v>42</v>
      </c>
      <c r="P16" s="61">
        <f t="shared" si="1"/>
        <v>150</v>
      </c>
      <c r="Q16" s="62">
        <v>-0.41</v>
      </c>
      <c r="R16" s="49">
        <f t="shared" si="0"/>
        <v>149.59</v>
      </c>
      <c r="S16" s="4"/>
      <c r="T16" s="63">
        <f>+T14-T15</f>
        <v>32.413793103448256</v>
      </c>
    </row>
    <row r="17" spans="9:22">
      <c r="I17" s="27" t="s">
        <v>54</v>
      </c>
      <c r="J17" s="30" t="s">
        <v>55</v>
      </c>
      <c r="K17" s="18"/>
      <c r="L17" s="21">
        <f>+K17*3</f>
        <v>0</v>
      </c>
      <c r="M17" s="20"/>
      <c r="N17" s="21">
        <f>+M17*3</f>
        <v>0</v>
      </c>
      <c r="O17" s="36"/>
      <c r="P17" s="31">
        <f t="shared" si="1"/>
        <v>0</v>
      </c>
      <c r="Q17" s="32"/>
      <c r="R17" s="29">
        <f t="shared" si="0"/>
        <v>0</v>
      </c>
      <c r="S17" s="4"/>
      <c r="T17" s="26">
        <v>150</v>
      </c>
      <c r="U17" s="68">
        <f>+T17-T16</f>
        <v>117.58620689655174</v>
      </c>
    </row>
    <row r="18" spans="9:22">
      <c r="I18" s="27" t="s">
        <v>10</v>
      </c>
      <c r="J18" s="30" t="s">
        <v>34</v>
      </c>
      <c r="K18" s="35"/>
      <c r="L18" s="21"/>
      <c r="M18" s="36"/>
      <c r="N18" s="21"/>
      <c r="O18" s="36"/>
      <c r="P18" s="31">
        <f t="shared" si="1"/>
        <v>0</v>
      </c>
      <c r="Q18" s="32"/>
      <c r="R18" s="29">
        <f t="shared" si="0"/>
        <v>0</v>
      </c>
      <c r="S18" s="4"/>
      <c r="T18" s="26"/>
    </row>
    <row r="19" spans="9:22">
      <c r="I19" s="27" t="s">
        <v>9</v>
      </c>
      <c r="J19" s="30" t="s">
        <v>35</v>
      </c>
      <c r="K19" s="35"/>
      <c r="L19" s="21"/>
      <c r="M19" s="36"/>
      <c r="N19" s="21"/>
      <c r="O19" s="36"/>
      <c r="P19" s="31">
        <f t="shared" si="1"/>
        <v>0</v>
      </c>
      <c r="Q19" s="32"/>
      <c r="R19" s="29">
        <f t="shared" si="0"/>
        <v>0</v>
      </c>
      <c r="S19" s="4"/>
      <c r="T19" s="26">
        <v>828</v>
      </c>
      <c r="U19">
        <v>107.64</v>
      </c>
      <c r="V19">
        <v>720.36</v>
      </c>
    </row>
    <row r="20" spans="9:22">
      <c r="I20" s="27" t="s">
        <v>36</v>
      </c>
      <c r="J20" s="30" t="s">
        <v>37</v>
      </c>
      <c r="K20" s="35"/>
      <c r="L20" s="21"/>
      <c r="M20" s="36"/>
      <c r="N20" s="21"/>
      <c r="O20" s="36">
        <v>17</v>
      </c>
      <c r="P20" s="31">
        <f t="shared" si="1"/>
        <v>102</v>
      </c>
      <c r="Q20" s="32"/>
      <c r="R20" s="29">
        <f t="shared" si="0"/>
        <v>102</v>
      </c>
      <c r="S20" s="4"/>
      <c r="T20" s="26">
        <f>+U20+V20</f>
        <v>827.58620689655174</v>
      </c>
      <c r="U20">
        <f>+U19*V20/V19</f>
        <v>107.58620689655173</v>
      </c>
      <c r="V20">
        <v>720</v>
      </c>
    </row>
    <row r="21" spans="9:22">
      <c r="I21" s="27" t="s">
        <v>64</v>
      </c>
      <c r="J21" s="30" t="s">
        <v>65</v>
      </c>
      <c r="K21" s="35"/>
      <c r="L21" s="21"/>
      <c r="M21" s="36"/>
      <c r="N21" s="21"/>
      <c r="O21" s="36"/>
      <c r="P21" s="31">
        <f t="shared" si="1"/>
        <v>0</v>
      </c>
      <c r="Q21" s="32"/>
      <c r="R21" s="29">
        <f t="shared" si="0"/>
        <v>0</v>
      </c>
      <c r="S21" s="4"/>
      <c r="T21" s="63">
        <f>+T19-T20</f>
        <v>0.41379310344825626</v>
      </c>
    </row>
    <row r="22" spans="9:22">
      <c r="I22" s="27" t="s">
        <v>13</v>
      </c>
      <c r="J22" s="30" t="s">
        <v>38</v>
      </c>
      <c r="K22" s="35"/>
      <c r="L22" s="21"/>
      <c r="M22" s="36"/>
      <c r="N22" s="21"/>
      <c r="O22" s="36"/>
      <c r="P22" s="31">
        <f t="shared" si="1"/>
        <v>0</v>
      </c>
      <c r="Q22" s="32"/>
      <c r="R22" s="29">
        <f t="shared" si="0"/>
        <v>0</v>
      </c>
      <c r="S22" s="4"/>
      <c r="T22" s="26">
        <v>150</v>
      </c>
      <c r="U22" s="68">
        <f>+T22-T21</f>
        <v>149.58620689655174</v>
      </c>
    </row>
    <row r="23" spans="9:22">
      <c r="I23" s="27" t="s">
        <v>39</v>
      </c>
      <c r="J23" s="30" t="s">
        <v>40</v>
      </c>
      <c r="K23" s="35"/>
      <c r="L23" s="21"/>
      <c r="M23" s="36"/>
      <c r="N23" s="21"/>
      <c r="O23" s="36">
        <v>13</v>
      </c>
      <c r="P23" s="31">
        <f t="shared" si="1"/>
        <v>78</v>
      </c>
      <c r="Q23" s="32"/>
      <c r="R23" s="29">
        <f t="shared" si="0"/>
        <v>78</v>
      </c>
      <c r="S23" s="4"/>
      <c r="T23" s="26"/>
    </row>
    <row r="24" spans="9:22">
      <c r="I24" s="69" t="s">
        <v>19</v>
      </c>
      <c r="J24" s="70" t="s">
        <v>20</v>
      </c>
      <c r="K24" s="71"/>
      <c r="L24" s="72">
        <f>+K24*3</f>
        <v>0</v>
      </c>
      <c r="M24" s="73"/>
      <c r="N24" s="72">
        <f>+M24*3</f>
        <v>0</v>
      </c>
      <c r="O24" s="74">
        <v>12</v>
      </c>
      <c r="P24" s="75">
        <f t="shared" si="1"/>
        <v>72</v>
      </c>
      <c r="Q24" s="76"/>
      <c r="R24" s="77">
        <f t="shared" si="0"/>
        <v>72</v>
      </c>
      <c r="S24" s="4"/>
      <c r="T24" s="78"/>
    </row>
    <row r="25" spans="9:22">
      <c r="I25" s="27" t="s">
        <v>41</v>
      </c>
      <c r="J25" s="30" t="s">
        <v>42</v>
      </c>
      <c r="K25" s="35"/>
      <c r="L25" s="21"/>
      <c r="M25" s="36"/>
      <c r="N25" s="21"/>
      <c r="O25" s="36">
        <v>48</v>
      </c>
      <c r="P25" s="31">
        <f t="shared" si="1"/>
        <v>150</v>
      </c>
      <c r="Q25" s="32"/>
      <c r="R25" s="29">
        <f t="shared" si="0"/>
        <v>150</v>
      </c>
      <c r="S25" s="4"/>
      <c r="T25" s="26"/>
    </row>
    <row r="26" spans="9:22">
      <c r="I26" s="27" t="s">
        <v>26</v>
      </c>
      <c r="J26" s="30" t="s">
        <v>48</v>
      </c>
      <c r="K26" s="18"/>
      <c r="L26" s="21">
        <v>0</v>
      </c>
      <c r="M26" s="20"/>
      <c r="N26" s="21">
        <v>0</v>
      </c>
      <c r="O26" s="36">
        <v>24</v>
      </c>
      <c r="P26" s="31">
        <f t="shared" si="1"/>
        <v>144</v>
      </c>
      <c r="Q26" s="32"/>
      <c r="R26" s="29">
        <f t="shared" si="0"/>
        <v>144</v>
      </c>
      <c r="S26" s="4"/>
      <c r="T26" s="26"/>
    </row>
    <row r="27" spans="9:22">
      <c r="I27" s="27" t="s">
        <v>67</v>
      </c>
      <c r="J27" s="28" t="s">
        <v>68</v>
      </c>
      <c r="K27" s="18"/>
      <c r="L27" s="21">
        <v>0</v>
      </c>
      <c r="M27" s="20"/>
      <c r="N27" s="21">
        <f>+M27*3</f>
        <v>0</v>
      </c>
      <c r="O27" s="22"/>
      <c r="P27" s="23"/>
      <c r="Q27" s="24"/>
      <c r="R27" s="29">
        <f t="shared" si="0"/>
        <v>0</v>
      </c>
      <c r="S27" s="4"/>
      <c r="T27" s="26"/>
    </row>
    <row r="28" spans="9:22">
      <c r="I28" s="27" t="s">
        <v>21</v>
      </c>
      <c r="J28" s="28" t="s">
        <v>22</v>
      </c>
      <c r="K28" s="18"/>
      <c r="L28" s="21">
        <v>0</v>
      </c>
      <c r="M28" s="20"/>
      <c r="N28" s="21">
        <f>+M28*3</f>
        <v>0</v>
      </c>
      <c r="O28" s="36">
        <v>29</v>
      </c>
      <c r="P28" s="31">
        <f t="shared" ref="P28:P35" si="2">IF(O28&gt;25,150,(O28)*6)</f>
        <v>150</v>
      </c>
      <c r="Q28" s="24"/>
      <c r="R28" s="29">
        <f t="shared" si="0"/>
        <v>150</v>
      </c>
      <c r="S28" s="4"/>
      <c r="T28" s="26"/>
    </row>
    <row r="29" spans="9:22">
      <c r="I29" s="27" t="s">
        <v>43</v>
      </c>
      <c r="J29" s="28" t="s">
        <v>73</v>
      </c>
      <c r="K29" s="18"/>
      <c r="L29" s="21">
        <v>0</v>
      </c>
      <c r="M29" s="20"/>
      <c r="N29" s="21">
        <f>+M29*3</f>
        <v>0</v>
      </c>
      <c r="O29" s="36">
        <v>40</v>
      </c>
      <c r="P29" s="31">
        <f t="shared" si="2"/>
        <v>150</v>
      </c>
      <c r="Q29" s="24"/>
      <c r="R29" s="29">
        <f t="shared" si="0"/>
        <v>150</v>
      </c>
      <c r="S29" s="4"/>
      <c r="T29" s="26"/>
    </row>
    <row r="30" spans="9:22">
      <c r="I30" s="27" t="s">
        <v>44</v>
      </c>
      <c r="J30" s="30" t="s">
        <v>45</v>
      </c>
      <c r="K30" s="27"/>
      <c r="L30" s="21">
        <f>+K30*3</f>
        <v>0</v>
      </c>
      <c r="M30" s="36"/>
      <c r="N30" s="21"/>
      <c r="O30" s="36">
        <v>39</v>
      </c>
      <c r="P30" s="31">
        <f t="shared" si="2"/>
        <v>150</v>
      </c>
      <c r="Q30" s="32"/>
      <c r="R30" s="29">
        <f t="shared" si="0"/>
        <v>150</v>
      </c>
      <c r="S30" s="10"/>
      <c r="T30" s="26"/>
    </row>
    <row r="31" spans="9:22">
      <c r="I31" s="27" t="s">
        <v>14</v>
      </c>
      <c r="J31" s="30" t="s">
        <v>66</v>
      </c>
      <c r="K31" s="18"/>
      <c r="L31" s="21">
        <f>+K31*3</f>
        <v>0</v>
      </c>
      <c r="M31" s="20"/>
      <c r="N31" s="21">
        <v>0</v>
      </c>
      <c r="O31" s="36">
        <v>9</v>
      </c>
      <c r="P31" s="31">
        <f t="shared" si="2"/>
        <v>54</v>
      </c>
      <c r="Q31" s="32"/>
      <c r="R31" s="29">
        <f t="shared" si="0"/>
        <v>54</v>
      </c>
      <c r="S31" s="4"/>
      <c r="T31" s="26"/>
    </row>
    <row r="32" spans="9:22">
      <c r="I32" s="27" t="s">
        <v>15</v>
      </c>
      <c r="J32" s="28" t="s">
        <v>16</v>
      </c>
      <c r="K32" s="18"/>
      <c r="L32" s="21">
        <f>+K32*3</f>
        <v>0</v>
      </c>
      <c r="M32" s="20"/>
      <c r="N32" s="21">
        <v>0</v>
      </c>
      <c r="O32" s="36"/>
      <c r="P32" s="23">
        <f t="shared" si="2"/>
        <v>0</v>
      </c>
      <c r="Q32" s="24"/>
      <c r="R32" s="29">
        <f t="shared" si="0"/>
        <v>0</v>
      </c>
      <c r="S32" s="4"/>
      <c r="T32" s="26"/>
    </row>
    <row r="33" spans="9:22">
      <c r="I33" s="27" t="s">
        <v>17</v>
      </c>
      <c r="J33" s="30" t="s">
        <v>46</v>
      </c>
      <c r="K33" s="35"/>
      <c r="L33" s="21"/>
      <c r="M33" s="36"/>
      <c r="N33" s="21">
        <f>+M33*3</f>
        <v>0</v>
      </c>
      <c r="O33" s="36">
        <v>18</v>
      </c>
      <c r="P33" s="31">
        <f t="shared" si="2"/>
        <v>108</v>
      </c>
      <c r="Q33" s="32"/>
      <c r="R33" s="29">
        <f t="shared" si="0"/>
        <v>108</v>
      </c>
      <c r="S33" s="10"/>
      <c r="T33" s="26"/>
    </row>
    <row r="34" spans="9:22">
      <c r="I34" s="27" t="s">
        <v>75</v>
      </c>
      <c r="J34" s="30" t="s">
        <v>76</v>
      </c>
      <c r="K34" s="35"/>
      <c r="L34" s="21"/>
      <c r="M34" s="36"/>
      <c r="N34" s="21"/>
      <c r="O34" s="36"/>
      <c r="P34" s="31">
        <f t="shared" si="2"/>
        <v>0</v>
      </c>
      <c r="Q34" s="32"/>
      <c r="R34" s="29">
        <f t="shared" si="0"/>
        <v>0</v>
      </c>
      <c r="S34" s="10"/>
      <c r="T34" s="26"/>
    </row>
    <row r="35" spans="9:22">
      <c r="I35" s="38" t="s">
        <v>69</v>
      </c>
      <c r="J35" s="50" t="s">
        <v>70</v>
      </c>
      <c r="K35" s="51"/>
      <c r="L35" s="52">
        <v>0</v>
      </c>
      <c r="M35" s="53"/>
      <c r="N35" s="52">
        <f>+M35*3</f>
        <v>0</v>
      </c>
      <c r="O35" s="79">
        <v>27</v>
      </c>
      <c r="P35" s="54">
        <f t="shared" si="2"/>
        <v>150</v>
      </c>
      <c r="Q35" s="55"/>
      <c r="R35" s="39">
        <f t="shared" si="0"/>
        <v>150</v>
      </c>
      <c r="S35" s="4"/>
      <c r="T35" s="26"/>
    </row>
    <row r="36" spans="9:22">
      <c r="I36" s="41"/>
      <c r="J36" s="42"/>
      <c r="K36" s="65">
        <f t="shared" ref="K36:Q36" si="3">SUM(K5:K35)</f>
        <v>0</v>
      </c>
      <c r="L36" s="66">
        <f t="shared" si="3"/>
        <v>0</v>
      </c>
      <c r="M36" s="65">
        <f t="shared" si="3"/>
        <v>0</v>
      </c>
      <c r="N36" s="66">
        <f t="shared" si="3"/>
        <v>0</v>
      </c>
      <c r="O36" s="56">
        <f t="shared" si="3"/>
        <v>492</v>
      </c>
      <c r="P36" s="58">
        <f t="shared" si="3"/>
        <v>2328</v>
      </c>
      <c r="Q36" s="58">
        <f t="shared" si="3"/>
        <v>-32.823793103448295</v>
      </c>
      <c r="R36" s="57">
        <f t="shared" si="0"/>
        <v>2295.1762068965518</v>
      </c>
      <c r="S36" s="40"/>
      <c r="T36" s="26"/>
    </row>
    <row r="37" spans="9:22">
      <c r="T37" s="26"/>
    </row>
    <row r="38" spans="9:22">
      <c r="N38" s="67"/>
      <c r="R38" s="6">
        <f>+R36-R24</f>
        <v>2223.1762068965518</v>
      </c>
    </row>
    <row r="40" spans="9:22">
      <c r="I40" s="418" t="s">
        <v>83</v>
      </c>
      <c r="J40" s="418"/>
      <c r="K40" s="418"/>
      <c r="L40" s="418"/>
      <c r="M40" s="418"/>
      <c r="N40" s="418"/>
      <c r="O40" s="418"/>
      <c r="P40" s="418"/>
      <c r="Q40" s="418"/>
      <c r="R40" s="418"/>
      <c r="T40" s="43"/>
    </row>
    <row r="41" spans="9:22">
      <c r="I41" s="11"/>
      <c r="J41" s="11"/>
      <c r="K41" s="428" t="s">
        <v>58</v>
      </c>
      <c r="L41" s="429"/>
      <c r="M41" s="429"/>
      <c r="N41" s="430"/>
      <c r="O41" s="428" t="s">
        <v>59</v>
      </c>
      <c r="P41" s="430"/>
      <c r="Q41" s="11"/>
      <c r="R41" s="11"/>
      <c r="T41" s="43"/>
    </row>
    <row r="42" spans="9:22" ht="40.5">
      <c r="I42" s="12" t="s">
        <v>11</v>
      </c>
      <c r="J42" s="12" t="s">
        <v>3</v>
      </c>
      <c r="K42" s="64" t="s">
        <v>23</v>
      </c>
      <c r="L42" s="64" t="s">
        <v>77</v>
      </c>
      <c r="M42" s="13" t="s">
        <v>23</v>
      </c>
      <c r="N42" s="13" t="s">
        <v>78</v>
      </c>
      <c r="O42" s="13" t="s">
        <v>23</v>
      </c>
      <c r="P42" s="13" t="s">
        <v>80</v>
      </c>
      <c r="Q42" s="13" t="s">
        <v>81</v>
      </c>
      <c r="R42" s="14" t="s">
        <v>60</v>
      </c>
      <c r="T42" s="43"/>
    </row>
    <row r="43" spans="9:22">
      <c r="I43" s="16" t="s">
        <v>61</v>
      </c>
      <c r="J43" s="17" t="s">
        <v>62</v>
      </c>
      <c r="K43" s="18"/>
      <c r="L43" s="19">
        <f>+K43*3</f>
        <v>0</v>
      </c>
      <c r="M43" s="20"/>
      <c r="N43" s="21">
        <v>0</v>
      </c>
      <c r="O43" s="22"/>
      <c r="P43" s="23"/>
      <c r="Q43" s="24"/>
      <c r="R43" s="25">
        <f>+L43+N43+P43+Q43</f>
        <v>0</v>
      </c>
      <c r="S43" s="4"/>
      <c r="T43" s="26"/>
    </row>
    <row r="44" spans="9:22">
      <c r="I44" s="27" t="s">
        <v>4</v>
      </c>
      <c r="J44" s="28" t="s">
        <v>12</v>
      </c>
      <c r="K44" s="18"/>
      <c r="L44" s="21">
        <f>+K44*3</f>
        <v>0</v>
      </c>
      <c r="M44" s="20"/>
      <c r="N44" s="21">
        <v>0</v>
      </c>
      <c r="O44" s="22"/>
      <c r="P44" s="23"/>
      <c r="Q44" s="24"/>
      <c r="R44" s="29">
        <f t="shared" ref="R44:R74" si="4">+L44+N44+P44+Q44</f>
        <v>0</v>
      </c>
      <c r="S44" s="4"/>
    </row>
    <row r="45" spans="9:22">
      <c r="I45" s="27" t="s">
        <v>1</v>
      </c>
      <c r="J45" s="30" t="s">
        <v>56</v>
      </c>
      <c r="K45" s="18"/>
      <c r="L45" s="21">
        <f>+K45*3</f>
        <v>0</v>
      </c>
      <c r="M45" s="20"/>
      <c r="N45" s="21">
        <f>+M45*3</f>
        <v>0</v>
      </c>
      <c r="O45" s="36">
        <v>17</v>
      </c>
      <c r="P45" s="31">
        <f>IF(O45&gt;25,150,(O45)*6)</f>
        <v>102</v>
      </c>
      <c r="Q45" s="32"/>
      <c r="R45" s="29">
        <f t="shared" si="4"/>
        <v>102</v>
      </c>
      <c r="S45" s="4"/>
      <c r="T45" s="26"/>
      <c r="U45" s="426">
        <v>43116</v>
      </c>
      <c r="V45" s="427"/>
    </row>
    <row r="46" spans="9:22">
      <c r="I46" s="27" t="s">
        <v>2</v>
      </c>
      <c r="J46" s="30" t="s">
        <v>47</v>
      </c>
      <c r="K46" s="35"/>
      <c r="L46" s="21"/>
      <c r="M46" s="36"/>
      <c r="N46" s="21"/>
      <c r="O46" s="36"/>
      <c r="P46" s="31">
        <f>IF(O46&gt;25,150,(O46)*6)</f>
        <v>0</v>
      </c>
      <c r="Q46" s="32"/>
      <c r="R46" s="29">
        <f t="shared" si="4"/>
        <v>0</v>
      </c>
      <c r="S46" s="4"/>
      <c r="T46" s="26"/>
    </row>
    <row r="47" spans="9:22">
      <c r="I47" s="27" t="s">
        <v>0</v>
      </c>
      <c r="J47" s="28" t="s">
        <v>7</v>
      </c>
      <c r="K47" s="18"/>
      <c r="L47" s="21">
        <f>+K47*5</f>
        <v>0</v>
      </c>
      <c r="M47" s="20"/>
      <c r="N47" s="21">
        <f>+M47*5</f>
        <v>0</v>
      </c>
      <c r="O47" s="22"/>
      <c r="P47" s="23"/>
      <c r="Q47" s="24"/>
      <c r="R47" s="29">
        <f t="shared" si="4"/>
        <v>0</v>
      </c>
      <c r="S47" s="4"/>
      <c r="T47" s="26"/>
    </row>
    <row r="48" spans="9:22">
      <c r="I48" s="27" t="s">
        <v>5</v>
      </c>
      <c r="J48" s="30" t="s">
        <v>71</v>
      </c>
      <c r="K48" s="18"/>
      <c r="L48" s="21">
        <f>+K48*3</f>
        <v>0</v>
      </c>
      <c r="M48" s="36"/>
      <c r="N48" s="21">
        <f>+M48*3</f>
        <v>0</v>
      </c>
      <c r="O48" s="36">
        <v>30</v>
      </c>
      <c r="P48" s="31">
        <f>IF(O48&gt;25,150,(O48)*6)</f>
        <v>150</v>
      </c>
      <c r="Q48" s="32"/>
      <c r="R48" s="29">
        <f t="shared" si="4"/>
        <v>150</v>
      </c>
      <c r="S48" s="4"/>
      <c r="T48" s="26"/>
    </row>
    <row r="49" spans="8:22">
      <c r="I49" s="27" t="s">
        <v>27</v>
      </c>
      <c r="J49" s="30" t="s">
        <v>28</v>
      </c>
      <c r="K49" s="18"/>
      <c r="L49" s="21">
        <v>0</v>
      </c>
      <c r="M49" s="36"/>
      <c r="N49" s="21">
        <f>+M49*3</f>
        <v>0</v>
      </c>
      <c r="O49" s="36">
        <v>24</v>
      </c>
      <c r="P49" s="31">
        <f>IF(O49&gt;25,150,(O49)*6)</f>
        <v>144</v>
      </c>
      <c r="Q49" s="32"/>
      <c r="R49" s="29">
        <f t="shared" si="4"/>
        <v>144</v>
      </c>
      <c r="S49" s="4"/>
      <c r="T49" s="26"/>
    </row>
    <row r="50" spans="8:22">
      <c r="I50" s="27" t="s">
        <v>8</v>
      </c>
      <c r="J50" s="30" t="s">
        <v>29</v>
      </c>
      <c r="K50" s="35"/>
      <c r="L50" s="21"/>
      <c r="M50" s="36"/>
      <c r="N50" s="21"/>
      <c r="O50" s="36"/>
      <c r="P50" s="31">
        <f t="shared" ref="P50:P64" si="5">IF(O50&gt;25,150,(O50)*6)</f>
        <v>0</v>
      </c>
      <c r="Q50" s="32"/>
      <c r="R50" s="29">
        <f t="shared" si="4"/>
        <v>0</v>
      </c>
      <c r="S50" s="4"/>
      <c r="T50" s="26"/>
    </row>
    <row r="51" spans="8:22">
      <c r="I51" s="27" t="s">
        <v>25</v>
      </c>
      <c r="J51" s="30" t="s">
        <v>33</v>
      </c>
      <c r="K51" s="35"/>
      <c r="L51" s="21"/>
      <c r="M51" s="36"/>
      <c r="N51" s="21"/>
      <c r="O51" s="36"/>
      <c r="P51" s="31">
        <f t="shared" si="5"/>
        <v>0</v>
      </c>
      <c r="Q51" s="32"/>
      <c r="R51" s="29">
        <f t="shared" si="4"/>
        <v>0</v>
      </c>
      <c r="S51" s="4"/>
      <c r="T51" s="26"/>
    </row>
    <row r="52" spans="8:22">
      <c r="I52" s="27" t="s">
        <v>24</v>
      </c>
      <c r="J52" s="30" t="s">
        <v>30</v>
      </c>
      <c r="K52" s="18"/>
      <c r="L52" s="21">
        <v>0</v>
      </c>
      <c r="M52" s="20"/>
      <c r="N52" s="21">
        <v>0</v>
      </c>
      <c r="O52" s="36">
        <v>20</v>
      </c>
      <c r="P52" s="31">
        <f t="shared" si="5"/>
        <v>120</v>
      </c>
      <c r="Q52" s="32"/>
      <c r="R52" s="29">
        <f t="shared" si="4"/>
        <v>120</v>
      </c>
      <c r="S52" s="4"/>
      <c r="T52" s="26">
        <v>860</v>
      </c>
      <c r="U52">
        <v>111.8</v>
      </c>
      <c r="V52">
        <v>748.2</v>
      </c>
    </row>
    <row r="53" spans="8:22">
      <c r="I53" s="27" t="s">
        <v>18</v>
      </c>
      <c r="J53" s="28" t="s">
        <v>72</v>
      </c>
      <c r="K53" s="18"/>
      <c r="L53" s="21">
        <f>+K53*3</f>
        <v>0</v>
      </c>
      <c r="M53" s="20"/>
      <c r="N53" s="21">
        <f>+M53*3</f>
        <v>0</v>
      </c>
      <c r="O53" s="36">
        <v>18</v>
      </c>
      <c r="P53" s="31">
        <f t="shared" si="5"/>
        <v>108</v>
      </c>
      <c r="Q53" s="24"/>
      <c r="R53" s="29">
        <f t="shared" si="4"/>
        <v>108</v>
      </c>
      <c r="S53" s="4"/>
      <c r="T53" s="26">
        <f>+U53+V53</f>
        <v>827.58620689655174</v>
      </c>
      <c r="U53">
        <f>+U52*V53/V52</f>
        <v>107.58620689655172</v>
      </c>
      <c r="V53">
        <v>720</v>
      </c>
    </row>
    <row r="54" spans="8:22">
      <c r="I54" s="27" t="s">
        <v>31</v>
      </c>
      <c r="J54" s="30" t="s">
        <v>32</v>
      </c>
      <c r="K54" s="35"/>
      <c r="L54" s="21"/>
      <c r="M54" s="36"/>
      <c r="N54" s="21"/>
      <c r="O54" s="36">
        <v>34</v>
      </c>
      <c r="P54" s="31">
        <f t="shared" si="5"/>
        <v>150</v>
      </c>
      <c r="Q54" s="32"/>
      <c r="R54" s="29">
        <f t="shared" si="4"/>
        <v>150</v>
      </c>
      <c r="S54" s="4"/>
      <c r="T54" s="63">
        <f>+T52-T53</f>
        <v>32.413793103448256</v>
      </c>
    </row>
    <row r="55" spans="8:22">
      <c r="I55" s="27" t="s">
        <v>54</v>
      </c>
      <c r="J55" s="30" t="s">
        <v>55</v>
      </c>
      <c r="K55" s="18"/>
      <c r="L55" s="21">
        <f>+K55*3</f>
        <v>0</v>
      </c>
      <c r="M55" s="20"/>
      <c r="N55" s="21">
        <f>+M55*3</f>
        <v>0</v>
      </c>
      <c r="O55" s="36"/>
      <c r="P55" s="31">
        <f t="shared" si="5"/>
        <v>0</v>
      </c>
      <c r="Q55" s="32"/>
      <c r="R55" s="29">
        <f t="shared" si="4"/>
        <v>0</v>
      </c>
      <c r="S55" s="4"/>
      <c r="T55" s="26">
        <v>150</v>
      </c>
      <c r="U55" s="68">
        <f>+T55-T54</f>
        <v>117.58620689655174</v>
      </c>
    </row>
    <row r="56" spans="8:22">
      <c r="I56" s="27" t="s">
        <v>10</v>
      </c>
      <c r="J56" s="30" t="s">
        <v>34</v>
      </c>
      <c r="K56" s="35"/>
      <c r="L56" s="21"/>
      <c r="M56" s="36"/>
      <c r="N56" s="21"/>
      <c r="O56" s="36"/>
      <c r="P56" s="31">
        <f t="shared" si="5"/>
        <v>0</v>
      </c>
      <c r="Q56" s="32"/>
      <c r="R56" s="29">
        <f t="shared" si="4"/>
        <v>0</v>
      </c>
      <c r="S56" s="4"/>
      <c r="T56" s="26"/>
    </row>
    <row r="57" spans="8:22">
      <c r="I57" s="27" t="s">
        <v>9</v>
      </c>
      <c r="J57" s="30" t="s">
        <v>35</v>
      </c>
      <c r="K57" s="35"/>
      <c r="L57" s="21"/>
      <c r="M57" s="36"/>
      <c r="N57" s="21"/>
      <c r="O57" s="36">
        <v>24</v>
      </c>
      <c r="P57" s="31">
        <f t="shared" si="5"/>
        <v>144</v>
      </c>
      <c r="Q57" s="32"/>
      <c r="R57" s="29">
        <f t="shared" si="4"/>
        <v>144</v>
      </c>
      <c r="S57" s="4"/>
      <c r="T57" s="26">
        <v>828</v>
      </c>
      <c r="U57">
        <v>107.64</v>
      </c>
      <c r="V57">
        <v>720.36</v>
      </c>
    </row>
    <row r="58" spans="8:22">
      <c r="I58" s="27" t="s">
        <v>36</v>
      </c>
      <c r="J58" s="30" t="s">
        <v>37</v>
      </c>
      <c r="K58" s="35"/>
      <c r="L58" s="21"/>
      <c r="M58" s="36"/>
      <c r="N58" s="21"/>
      <c r="O58" s="36">
        <v>15</v>
      </c>
      <c r="P58" s="31">
        <f t="shared" si="5"/>
        <v>90</v>
      </c>
      <c r="Q58" s="32"/>
      <c r="R58" s="29">
        <f t="shared" si="4"/>
        <v>90</v>
      </c>
      <c r="S58" s="4"/>
      <c r="T58" s="26">
        <f>+U58+V58</f>
        <v>827.58620689655174</v>
      </c>
      <c r="U58">
        <f>+U57*V58/V57</f>
        <v>107.58620689655173</v>
      </c>
      <c r="V58">
        <v>720</v>
      </c>
    </row>
    <row r="59" spans="8:22">
      <c r="I59" s="27" t="s">
        <v>64</v>
      </c>
      <c r="J59" s="30" t="s">
        <v>65</v>
      </c>
      <c r="K59" s="35"/>
      <c r="L59" s="21"/>
      <c r="M59" s="36"/>
      <c r="N59" s="21"/>
      <c r="O59" s="36"/>
      <c r="P59" s="31">
        <f t="shared" si="5"/>
        <v>0</v>
      </c>
      <c r="Q59" s="32"/>
      <c r="R59" s="29">
        <f t="shared" si="4"/>
        <v>0</v>
      </c>
      <c r="S59" s="4"/>
      <c r="T59" s="63">
        <f>+T57-T58</f>
        <v>0.41379310344825626</v>
      </c>
    </row>
    <row r="60" spans="8:22">
      <c r="I60" s="27" t="s">
        <v>13</v>
      </c>
      <c r="J60" s="30" t="s">
        <v>38</v>
      </c>
      <c r="K60" s="35"/>
      <c r="L60" s="21"/>
      <c r="M60" s="36"/>
      <c r="N60" s="21"/>
      <c r="O60" s="36">
        <v>17</v>
      </c>
      <c r="P60" s="31">
        <f t="shared" si="5"/>
        <v>102</v>
      </c>
      <c r="Q60" s="32"/>
      <c r="R60" s="29">
        <f t="shared" si="4"/>
        <v>102</v>
      </c>
      <c r="S60" s="4"/>
      <c r="T60" s="26">
        <v>150</v>
      </c>
      <c r="U60" s="68">
        <f>+T60-T59</f>
        <v>149.58620689655174</v>
      </c>
    </row>
    <row r="61" spans="8:22">
      <c r="I61" s="27" t="s">
        <v>39</v>
      </c>
      <c r="J61" s="30" t="s">
        <v>40</v>
      </c>
      <c r="K61" s="35"/>
      <c r="L61" s="21"/>
      <c r="M61" s="36"/>
      <c r="N61" s="21"/>
      <c r="O61" s="36"/>
      <c r="P61" s="31">
        <f t="shared" si="5"/>
        <v>0</v>
      </c>
      <c r="Q61" s="32"/>
      <c r="R61" s="29">
        <f t="shared" si="4"/>
        <v>0</v>
      </c>
      <c r="S61" s="4"/>
      <c r="T61" s="26"/>
    </row>
    <row r="62" spans="8:22">
      <c r="H62" s="80" t="s">
        <v>84</v>
      </c>
      <c r="I62" s="69" t="s">
        <v>19</v>
      </c>
      <c r="J62" s="70" t="s">
        <v>20</v>
      </c>
      <c r="K62" s="71"/>
      <c r="L62" s="72">
        <f>+K62*3</f>
        <v>0</v>
      </c>
      <c r="M62" s="73"/>
      <c r="N62" s="72">
        <f>+M62*3</f>
        <v>0</v>
      </c>
      <c r="O62" s="74"/>
      <c r="P62" s="75">
        <f t="shared" si="5"/>
        <v>0</v>
      </c>
      <c r="Q62" s="76"/>
      <c r="R62" s="77">
        <f t="shared" si="4"/>
        <v>0</v>
      </c>
      <c r="S62" s="4"/>
      <c r="T62" s="78"/>
    </row>
    <row r="63" spans="8:22">
      <c r="I63" s="27" t="s">
        <v>41</v>
      </c>
      <c r="J63" s="30" t="s">
        <v>42</v>
      </c>
      <c r="K63" s="35"/>
      <c r="L63" s="21"/>
      <c r="M63" s="36"/>
      <c r="N63" s="21"/>
      <c r="O63" s="36">
        <v>29</v>
      </c>
      <c r="P63" s="31">
        <f t="shared" si="5"/>
        <v>150</v>
      </c>
      <c r="Q63" s="32"/>
      <c r="R63" s="29">
        <f t="shared" si="4"/>
        <v>150</v>
      </c>
      <c r="S63" s="4"/>
      <c r="T63" s="26"/>
    </row>
    <row r="64" spans="8:22">
      <c r="I64" s="27" t="s">
        <v>26</v>
      </c>
      <c r="J64" s="30" t="s">
        <v>48</v>
      </c>
      <c r="K64" s="18"/>
      <c r="L64" s="21">
        <v>0</v>
      </c>
      <c r="M64" s="20"/>
      <c r="N64" s="21">
        <v>0</v>
      </c>
      <c r="O64" s="36">
        <v>2</v>
      </c>
      <c r="P64" s="31">
        <f t="shared" si="5"/>
        <v>12</v>
      </c>
      <c r="Q64" s="32"/>
      <c r="R64" s="29">
        <f t="shared" si="4"/>
        <v>12</v>
      </c>
      <c r="S64" s="4"/>
      <c r="T64" s="26"/>
    </row>
    <row r="65" spans="9:20">
      <c r="I65" s="27" t="s">
        <v>67</v>
      </c>
      <c r="J65" s="28" t="s">
        <v>68</v>
      </c>
      <c r="K65" s="18"/>
      <c r="L65" s="21">
        <v>0</v>
      </c>
      <c r="M65" s="20"/>
      <c r="N65" s="21">
        <f>+M65*3</f>
        <v>0</v>
      </c>
      <c r="O65" s="22"/>
      <c r="P65" s="23"/>
      <c r="Q65" s="24"/>
      <c r="R65" s="29">
        <f t="shared" si="4"/>
        <v>0</v>
      </c>
      <c r="S65" s="4"/>
      <c r="T65" s="26"/>
    </row>
    <row r="66" spans="9:20">
      <c r="I66" s="27" t="s">
        <v>21</v>
      </c>
      <c r="J66" s="28" t="s">
        <v>22</v>
      </c>
      <c r="K66" s="18"/>
      <c r="L66" s="21">
        <v>0</v>
      </c>
      <c r="M66" s="20"/>
      <c r="N66" s="21">
        <f>+M66*3</f>
        <v>0</v>
      </c>
      <c r="O66" s="36"/>
      <c r="P66" s="31">
        <f t="shared" ref="P66:P73" si="6">IF(O66&gt;25,150,(O66)*6)</f>
        <v>0</v>
      </c>
      <c r="Q66" s="24"/>
      <c r="R66" s="29">
        <f t="shared" si="4"/>
        <v>0</v>
      </c>
      <c r="S66" s="4"/>
      <c r="T66" s="26"/>
    </row>
    <row r="67" spans="9:20">
      <c r="I67" s="27" t="s">
        <v>43</v>
      </c>
      <c r="J67" s="28" t="s">
        <v>73</v>
      </c>
      <c r="K67" s="18"/>
      <c r="L67" s="21">
        <v>0</v>
      </c>
      <c r="M67" s="20"/>
      <c r="N67" s="21">
        <f>+M67*3</f>
        <v>0</v>
      </c>
      <c r="O67" s="36">
        <v>22</v>
      </c>
      <c r="P67" s="31">
        <f t="shared" si="6"/>
        <v>132</v>
      </c>
      <c r="Q67" s="24"/>
      <c r="R67" s="29">
        <f t="shared" si="4"/>
        <v>132</v>
      </c>
      <c r="S67" s="4"/>
      <c r="T67" s="26"/>
    </row>
    <row r="68" spans="9:20">
      <c r="I68" s="27" t="s">
        <v>44</v>
      </c>
      <c r="J68" s="30" t="s">
        <v>45</v>
      </c>
      <c r="K68" s="27"/>
      <c r="L68" s="21">
        <f>+K68*3</f>
        <v>0</v>
      </c>
      <c r="M68" s="36"/>
      <c r="N68" s="21"/>
      <c r="O68" s="36">
        <v>27</v>
      </c>
      <c r="P68" s="31">
        <f t="shared" si="6"/>
        <v>150</v>
      </c>
      <c r="Q68" s="32"/>
      <c r="R68" s="29">
        <f t="shared" si="4"/>
        <v>150</v>
      </c>
      <c r="S68" s="10"/>
      <c r="T68" s="26"/>
    </row>
    <row r="69" spans="9:20">
      <c r="I69" s="27" t="s">
        <v>14</v>
      </c>
      <c r="J69" s="30" t="s">
        <v>66</v>
      </c>
      <c r="K69" s="18"/>
      <c r="L69" s="21">
        <f>+K69*3</f>
        <v>0</v>
      </c>
      <c r="M69" s="20"/>
      <c r="N69" s="21">
        <v>0</v>
      </c>
      <c r="O69" s="36">
        <v>17</v>
      </c>
      <c r="P69" s="31">
        <f t="shared" si="6"/>
        <v>102</v>
      </c>
      <c r="Q69" s="32"/>
      <c r="R69" s="29">
        <f t="shared" si="4"/>
        <v>102</v>
      </c>
      <c r="S69" s="4"/>
      <c r="T69" s="26"/>
    </row>
    <row r="70" spans="9:20">
      <c r="I70" s="27" t="s">
        <v>15</v>
      </c>
      <c r="J70" s="28" t="s">
        <v>16</v>
      </c>
      <c r="K70" s="18"/>
      <c r="L70" s="21">
        <f>+K70*3</f>
        <v>0</v>
      </c>
      <c r="M70" s="20"/>
      <c r="N70" s="21">
        <v>0</v>
      </c>
      <c r="O70" s="36"/>
      <c r="P70" s="23">
        <f t="shared" si="6"/>
        <v>0</v>
      </c>
      <c r="Q70" s="24"/>
      <c r="R70" s="29">
        <f t="shared" si="4"/>
        <v>0</v>
      </c>
      <c r="S70" s="4"/>
      <c r="T70" s="26"/>
    </row>
    <row r="71" spans="9:20">
      <c r="I71" s="27" t="s">
        <v>17</v>
      </c>
      <c r="J71" s="30" t="s">
        <v>46</v>
      </c>
      <c r="K71" s="35"/>
      <c r="L71" s="21"/>
      <c r="M71" s="36"/>
      <c r="N71" s="21">
        <f>+M71*3</f>
        <v>0</v>
      </c>
      <c r="O71" s="36">
        <v>19</v>
      </c>
      <c r="P71" s="31">
        <f t="shared" si="6"/>
        <v>114</v>
      </c>
      <c r="Q71" s="32"/>
      <c r="R71" s="29">
        <f t="shared" si="4"/>
        <v>114</v>
      </c>
      <c r="S71" s="10"/>
      <c r="T71" s="26"/>
    </row>
    <row r="72" spans="9:20">
      <c r="I72" s="27" t="s">
        <v>75</v>
      </c>
      <c r="J72" s="30" t="s">
        <v>76</v>
      </c>
      <c r="K72" s="35"/>
      <c r="L72" s="21"/>
      <c r="M72" s="36"/>
      <c r="N72" s="21"/>
      <c r="O72" s="36">
        <v>19</v>
      </c>
      <c r="P72" s="31">
        <f t="shared" si="6"/>
        <v>114</v>
      </c>
      <c r="Q72" s="32"/>
      <c r="R72" s="29">
        <f t="shared" si="4"/>
        <v>114</v>
      </c>
      <c r="S72" s="10"/>
      <c r="T72" s="26"/>
    </row>
    <row r="73" spans="9:20">
      <c r="I73" s="38" t="s">
        <v>69</v>
      </c>
      <c r="J73" s="50" t="s">
        <v>70</v>
      </c>
      <c r="K73" s="51"/>
      <c r="L73" s="52">
        <v>0</v>
      </c>
      <c r="M73" s="53"/>
      <c r="N73" s="52">
        <f>+M73*3</f>
        <v>0</v>
      </c>
      <c r="O73" s="79">
        <v>14</v>
      </c>
      <c r="P73" s="54">
        <f t="shared" si="6"/>
        <v>84</v>
      </c>
      <c r="Q73" s="55"/>
      <c r="R73" s="39">
        <f t="shared" si="4"/>
        <v>84</v>
      </c>
      <c r="S73" s="4"/>
      <c r="T73" s="26"/>
    </row>
    <row r="74" spans="9:20">
      <c r="I74" s="41"/>
      <c r="J74" s="42"/>
      <c r="K74" s="65">
        <f t="shared" ref="K74:Q74" si="7">SUM(K43:K73)</f>
        <v>0</v>
      </c>
      <c r="L74" s="66">
        <f t="shared" si="7"/>
        <v>0</v>
      </c>
      <c r="M74" s="65">
        <f t="shared" si="7"/>
        <v>0</v>
      </c>
      <c r="N74" s="66">
        <f t="shared" si="7"/>
        <v>0</v>
      </c>
      <c r="O74" s="56">
        <f t="shared" si="7"/>
        <v>348</v>
      </c>
      <c r="P74" s="58">
        <f t="shared" si="7"/>
        <v>1968</v>
      </c>
      <c r="Q74" s="58">
        <f t="shared" si="7"/>
        <v>0</v>
      </c>
      <c r="R74" s="57">
        <f t="shared" si="4"/>
        <v>1968</v>
      </c>
      <c r="S74" s="40"/>
      <c r="T74" s="26"/>
    </row>
    <row r="75" spans="9:20">
      <c r="T75" s="26"/>
    </row>
    <row r="76" spans="9:20">
      <c r="N76" s="67"/>
      <c r="R76" s="6">
        <f>+R74-R62</f>
        <v>1968</v>
      </c>
    </row>
    <row r="78" spans="9:20">
      <c r="I78" s="418" t="s">
        <v>85</v>
      </c>
      <c r="J78" s="418"/>
      <c r="K78" s="418"/>
      <c r="L78" s="418"/>
      <c r="M78" s="418"/>
      <c r="N78" s="418"/>
      <c r="O78" s="418"/>
      <c r="P78" s="418"/>
      <c r="Q78" s="418"/>
      <c r="R78" s="418"/>
      <c r="T78" s="43"/>
    </row>
    <row r="79" spans="9:20">
      <c r="I79" s="11"/>
      <c r="J79" s="11"/>
      <c r="K79" s="428" t="s">
        <v>58</v>
      </c>
      <c r="L79" s="429"/>
      <c r="M79" s="429"/>
      <c r="N79" s="430"/>
      <c r="O79" s="428" t="s">
        <v>59</v>
      </c>
      <c r="P79" s="430"/>
      <c r="Q79" s="11"/>
      <c r="R79" s="11"/>
      <c r="T79" s="43"/>
    </row>
    <row r="80" spans="9:20" ht="40.5">
      <c r="I80" s="12" t="s">
        <v>11</v>
      </c>
      <c r="J80" s="12" t="s">
        <v>3</v>
      </c>
      <c r="K80" s="64" t="s">
        <v>23</v>
      </c>
      <c r="L80" s="64" t="s">
        <v>77</v>
      </c>
      <c r="M80" s="13" t="s">
        <v>23</v>
      </c>
      <c r="N80" s="13" t="s">
        <v>78</v>
      </c>
      <c r="O80" s="13" t="s">
        <v>23</v>
      </c>
      <c r="P80" s="13" t="s">
        <v>86</v>
      </c>
      <c r="Q80" s="13" t="s">
        <v>81</v>
      </c>
      <c r="R80" s="14" t="s">
        <v>60</v>
      </c>
      <c r="T80" s="43"/>
    </row>
    <row r="81" spans="9:22">
      <c r="I81" s="16" t="s">
        <v>61</v>
      </c>
      <c r="J81" s="17" t="s">
        <v>62</v>
      </c>
      <c r="K81" s="18"/>
      <c r="L81" s="19">
        <f>+K81*3</f>
        <v>0</v>
      </c>
      <c r="M81" s="20"/>
      <c r="N81" s="21">
        <v>0</v>
      </c>
      <c r="O81" s="22"/>
      <c r="P81" s="23"/>
      <c r="Q81" s="24"/>
      <c r="R81" s="25">
        <f>+L81+N81+P81+Q81</f>
        <v>0</v>
      </c>
      <c r="S81" s="4"/>
      <c r="T81" s="26"/>
    </row>
    <row r="82" spans="9:22">
      <c r="I82" s="27" t="s">
        <v>4</v>
      </c>
      <c r="J82" s="28" t="s">
        <v>12</v>
      </c>
      <c r="K82" s="18"/>
      <c r="L82" s="21">
        <f>+K82*3</f>
        <v>0</v>
      </c>
      <c r="M82" s="20"/>
      <c r="N82" s="21">
        <v>0</v>
      </c>
      <c r="O82" s="22"/>
      <c r="P82" s="23"/>
      <c r="Q82" s="24"/>
      <c r="R82" s="29">
        <f t="shared" ref="R82:R112" si="8">+L82+N82+P82+Q82</f>
        <v>0</v>
      </c>
      <c r="S82" s="4"/>
    </row>
    <row r="83" spans="9:22">
      <c r="I83" s="27" t="s">
        <v>1</v>
      </c>
      <c r="J83" s="30" t="s">
        <v>56</v>
      </c>
      <c r="K83" s="18"/>
      <c r="L83" s="21">
        <f>+K83*3</f>
        <v>0</v>
      </c>
      <c r="M83" s="20"/>
      <c r="N83" s="21">
        <f>+M83*3</f>
        <v>0</v>
      </c>
      <c r="O83" s="36"/>
      <c r="P83" s="31">
        <f>IF(O83&gt;25,150,(O83)*6)</f>
        <v>0</v>
      </c>
      <c r="Q83" s="32"/>
      <c r="R83" s="29">
        <f t="shared" si="8"/>
        <v>0</v>
      </c>
      <c r="S83" s="4"/>
      <c r="T83" s="26"/>
      <c r="U83" s="426">
        <v>43124</v>
      </c>
      <c r="V83" s="427"/>
    </row>
    <row r="84" spans="9:22">
      <c r="I84" s="27" t="s">
        <v>2</v>
      </c>
      <c r="J84" s="30" t="s">
        <v>47</v>
      </c>
      <c r="K84" s="35"/>
      <c r="L84" s="21"/>
      <c r="M84" s="36"/>
      <c r="N84" s="21"/>
      <c r="O84" s="36"/>
      <c r="P84" s="31">
        <f>IF(O84&gt;25,150,(O84)*6)</f>
        <v>0</v>
      </c>
      <c r="Q84" s="32"/>
      <c r="R84" s="29">
        <f t="shared" si="8"/>
        <v>0</v>
      </c>
      <c r="S84" s="4"/>
      <c r="T84" s="26"/>
    </row>
    <row r="85" spans="9:22">
      <c r="I85" s="27" t="s">
        <v>0</v>
      </c>
      <c r="J85" s="28" t="s">
        <v>7</v>
      </c>
      <c r="K85" s="18"/>
      <c r="L85" s="21">
        <f>+K85*5</f>
        <v>0</v>
      </c>
      <c r="M85" s="20"/>
      <c r="N85" s="21">
        <f>+M85*5</f>
        <v>0</v>
      </c>
      <c r="O85" s="22"/>
      <c r="P85" s="23"/>
      <c r="Q85" s="24"/>
      <c r="R85" s="29">
        <f t="shared" si="8"/>
        <v>0</v>
      </c>
      <c r="S85" s="4"/>
      <c r="T85" s="26"/>
    </row>
    <row r="86" spans="9:22">
      <c r="I86" s="27" t="s">
        <v>5</v>
      </c>
      <c r="J86" s="30" t="s">
        <v>71</v>
      </c>
      <c r="K86" s="18"/>
      <c r="L86" s="21">
        <f>+K86*3</f>
        <v>0</v>
      </c>
      <c r="M86" s="36"/>
      <c r="N86" s="21">
        <f>+M86*3</f>
        <v>0</v>
      </c>
      <c r="O86" s="36">
        <v>1</v>
      </c>
      <c r="P86" s="31">
        <f>IF(O86&gt;25,150,(O86)*6)</f>
        <v>6</v>
      </c>
      <c r="Q86" s="32"/>
      <c r="R86" s="29">
        <f t="shared" si="8"/>
        <v>6</v>
      </c>
      <c r="S86" s="4"/>
      <c r="T86" s="26"/>
    </row>
    <row r="87" spans="9:22">
      <c r="I87" s="27" t="s">
        <v>27</v>
      </c>
      <c r="J87" s="30" t="s">
        <v>28</v>
      </c>
      <c r="K87" s="18"/>
      <c r="L87" s="21">
        <v>0</v>
      </c>
      <c r="M87" s="36"/>
      <c r="N87" s="21">
        <f>+M87*3</f>
        <v>0</v>
      </c>
      <c r="O87" s="36">
        <v>10</v>
      </c>
      <c r="P87" s="31">
        <f>IF(O87&gt;25,150,(O87)*6)</f>
        <v>60</v>
      </c>
      <c r="Q87" s="32"/>
      <c r="R87" s="29">
        <f t="shared" si="8"/>
        <v>60</v>
      </c>
      <c r="S87" s="4"/>
      <c r="T87" s="26"/>
    </row>
    <row r="88" spans="9:22">
      <c r="I88" s="27" t="s">
        <v>8</v>
      </c>
      <c r="J88" s="30" t="s">
        <v>29</v>
      </c>
      <c r="K88" s="35"/>
      <c r="L88" s="21"/>
      <c r="M88" s="36"/>
      <c r="N88" s="21"/>
      <c r="O88" s="36"/>
      <c r="P88" s="31">
        <f t="shared" ref="P88:P111" si="9">IF(O88&gt;25,150,(O88)*6)</f>
        <v>0</v>
      </c>
      <c r="Q88" s="32"/>
      <c r="R88" s="29">
        <f t="shared" si="8"/>
        <v>0</v>
      </c>
      <c r="S88" s="4"/>
      <c r="T88" s="26"/>
    </row>
    <row r="89" spans="9:22">
      <c r="I89" s="27" t="s">
        <v>25</v>
      </c>
      <c r="J89" s="30" t="s">
        <v>33</v>
      </c>
      <c r="K89" s="35"/>
      <c r="L89" s="21"/>
      <c r="M89" s="36"/>
      <c r="N89" s="21"/>
      <c r="O89" s="36"/>
      <c r="P89" s="31">
        <f t="shared" si="9"/>
        <v>0</v>
      </c>
      <c r="Q89" s="32"/>
      <c r="R89" s="29">
        <f t="shared" si="8"/>
        <v>0</v>
      </c>
      <c r="S89" s="4"/>
      <c r="T89" s="26"/>
    </row>
    <row r="90" spans="9:22">
      <c r="I90" s="27" t="s">
        <v>24</v>
      </c>
      <c r="J90" s="30" t="s">
        <v>30</v>
      </c>
      <c r="K90" s="18"/>
      <c r="L90" s="21">
        <v>0</v>
      </c>
      <c r="M90" s="20"/>
      <c r="N90" s="21">
        <v>0</v>
      </c>
      <c r="O90" s="36">
        <v>30</v>
      </c>
      <c r="P90" s="31">
        <f t="shared" si="9"/>
        <v>150</v>
      </c>
      <c r="Q90" s="32"/>
      <c r="R90" s="29">
        <f t="shared" si="8"/>
        <v>150</v>
      </c>
      <c r="S90" s="4"/>
      <c r="T90" s="26">
        <v>860</v>
      </c>
      <c r="U90">
        <v>111.8</v>
      </c>
      <c r="V90">
        <v>748.2</v>
      </c>
    </row>
    <row r="91" spans="9:22">
      <c r="I91" s="27" t="s">
        <v>18</v>
      </c>
      <c r="J91" s="28" t="s">
        <v>72</v>
      </c>
      <c r="K91" s="18"/>
      <c r="L91" s="21">
        <f>+K91*3</f>
        <v>0</v>
      </c>
      <c r="M91" s="20"/>
      <c r="N91" s="21">
        <f>+M91*3</f>
        <v>0</v>
      </c>
      <c r="O91" s="36"/>
      <c r="P91" s="31">
        <f t="shared" si="9"/>
        <v>0</v>
      </c>
      <c r="Q91" s="24"/>
      <c r="R91" s="29">
        <f t="shared" si="8"/>
        <v>0</v>
      </c>
      <c r="S91" s="4"/>
      <c r="T91" s="26">
        <f>+U91+V91</f>
        <v>827.58620689655174</v>
      </c>
      <c r="U91">
        <f>+U90*V91/V90</f>
        <v>107.58620689655172</v>
      </c>
      <c r="V91">
        <v>720</v>
      </c>
    </row>
    <row r="92" spans="9:22">
      <c r="I92" s="27" t="s">
        <v>31</v>
      </c>
      <c r="J92" s="30" t="s">
        <v>32</v>
      </c>
      <c r="K92" s="35"/>
      <c r="L92" s="21"/>
      <c r="M92" s="36"/>
      <c r="N92" s="21"/>
      <c r="O92" s="36">
        <v>33</v>
      </c>
      <c r="P92" s="31">
        <f t="shared" si="9"/>
        <v>150</v>
      </c>
      <c r="Q92" s="32"/>
      <c r="R92" s="29">
        <f t="shared" si="8"/>
        <v>150</v>
      </c>
      <c r="S92" s="4"/>
      <c r="T92" s="63">
        <f>+T90-T91</f>
        <v>32.413793103448256</v>
      </c>
    </row>
    <row r="93" spans="9:22">
      <c r="I93" s="27" t="s">
        <v>54</v>
      </c>
      <c r="J93" s="30" t="s">
        <v>55</v>
      </c>
      <c r="K93" s="18"/>
      <c r="L93" s="21">
        <f>+K93*3</f>
        <v>0</v>
      </c>
      <c r="M93" s="20"/>
      <c r="N93" s="21">
        <f>+M93*3</f>
        <v>0</v>
      </c>
      <c r="O93" s="36"/>
      <c r="P93" s="31">
        <f t="shared" si="9"/>
        <v>0</v>
      </c>
      <c r="Q93" s="32"/>
      <c r="R93" s="29">
        <f t="shared" si="8"/>
        <v>0</v>
      </c>
      <c r="S93" s="4"/>
      <c r="T93" s="26">
        <v>150</v>
      </c>
      <c r="U93" s="68">
        <f>+T93-T92</f>
        <v>117.58620689655174</v>
      </c>
    </row>
    <row r="94" spans="9:22">
      <c r="I94" s="27" t="s">
        <v>10</v>
      </c>
      <c r="J94" s="30" t="s">
        <v>34</v>
      </c>
      <c r="K94" s="35"/>
      <c r="L94" s="21"/>
      <c r="M94" s="36"/>
      <c r="N94" s="21"/>
      <c r="O94" s="36"/>
      <c r="P94" s="31">
        <f t="shared" si="9"/>
        <v>0</v>
      </c>
      <c r="Q94" s="32"/>
      <c r="R94" s="29">
        <f t="shared" si="8"/>
        <v>0</v>
      </c>
      <c r="S94" s="4"/>
      <c r="T94" s="26"/>
    </row>
    <row r="95" spans="9:22">
      <c r="I95" s="27" t="s">
        <v>9</v>
      </c>
      <c r="J95" s="30" t="s">
        <v>35</v>
      </c>
      <c r="K95" s="35"/>
      <c r="L95" s="21"/>
      <c r="M95" s="36"/>
      <c r="N95" s="21"/>
      <c r="O95" s="36">
        <v>37</v>
      </c>
      <c r="P95" s="31">
        <f t="shared" si="9"/>
        <v>150</v>
      </c>
      <c r="Q95" s="32"/>
      <c r="R95" s="29">
        <f t="shared" si="8"/>
        <v>150</v>
      </c>
      <c r="S95" s="4"/>
      <c r="T95" s="26">
        <v>828</v>
      </c>
      <c r="U95">
        <v>107.64</v>
      </c>
      <c r="V95">
        <v>720.36</v>
      </c>
    </row>
    <row r="96" spans="9:22">
      <c r="I96" s="27" t="s">
        <v>36</v>
      </c>
      <c r="J96" s="30" t="s">
        <v>37</v>
      </c>
      <c r="K96" s="35"/>
      <c r="L96" s="21"/>
      <c r="M96" s="36"/>
      <c r="N96" s="21"/>
      <c r="O96" s="36">
        <v>24</v>
      </c>
      <c r="P96" s="31">
        <f t="shared" si="9"/>
        <v>144</v>
      </c>
      <c r="Q96" s="32"/>
      <c r="R96" s="29">
        <f t="shared" si="8"/>
        <v>144</v>
      </c>
      <c r="S96" s="4"/>
      <c r="T96" s="26">
        <f>+U96+V96</f>
        <v>827.58620689655174</v>
      </c>
      <c r="U96">
        <f>+U95*V96/V95</f>
        <v>107.58620689655173</v>
      </c>
      <c r="V96">
        <v>720</v>
      </c>
    </row>
    <row r="97" spans="8:21">
      <c r="I97" s="27" t="s">
        <v>64</v>
      </c>
      <c r="J97" s="30" t="s">
        <v>65</v>
      </c>
      <c r="K97" s="35"/>
      <c r="L97" s="21"/>
      <c r="M97" s="36"/>
      <c r="N97" s="21"/>
      <c r="O97" s="36">
        <v>29</v>
      </c>
      <c r="P97" s="31">
        <f t="shared" si="9"/>
        <v>150</v>
      </c>
      <c r="Q97" s="32"/>
      <c r="R97" s="29">
        <f t="shared" si="8"/>
        <v>150</v>
      </c>
      <c r="S97" s="4"/>
      <c r="T97" s="63">
        <f>+T95-T96</f>
        <v>0.41379310344825626</v>
      </c>
    </row>
    <row r="98" spans="8:21">
      <c r="I98" s="27" t="s">
        <v>13</v>
      </c>
      <c r="J98" s="30" t="s">
        <v>38</v>
      </c>
      <c r="K98" s="35"/>
      <c r="L98" s="21"/>
      <c r="M98" s="36"/>
      <c r="N98" s="21"/>
      <c r="O98" s="36">
        <v>35</v>
      </c>
      <c r="P98" s="31">
        <f t="shared" si="9"/>
        <v>150</v>
      </c>
      <c r="Q98" s="32"/>
      <c r="R98" s="29">
        <f t="shared" si="8"/>
        <v>150</v>
      </c>
      <c r="S98" s="4"/>
      <c r="T98" s="26">
        <v>150</v>
      </c>
      <c r="U98" s="68">
        <f>+T98-T97</f>
        <v>149.58620689655174</v>
      </c>
    </row>
    <row r="99" spans="8:21">
      <c r="I99" s="27" t="s">
        <v>39</v>
      </c>
      <c r="J99" s="30" t="s">
        <v>40</v>
      </c>
      <c r="K99" s="35"/>
      <c r="L99" s="21"/>
      <c r="M99" s="36"/>
      <c r="N99" s="21"/>
      <c r="O99" s="36"/>
      <c r="P99" s="31">
        <f t="shared" si="9"/>
        <v>0</v>
      </c>
      <c r="Q99" s="32"/>
      <c r="R99" s="29">
        <f t="shared" si="8"/>
        <v>0</v>
      </c>
      <c r="S99" s="4"/>
      <c r="T99" s="26"/>
    </row>
    <row r="100" spans="8:21">
      <c r="H100" s="80" t="s">
        <v>84</v>
      </c>
      <c r="I100" s="69" t="s">
        <v>19</v>
      </c>
      <c r="J100" s="70" t="s">
        <v>20</v>
      </c>
      <c r="K100" s="71"/>
      <c r="L100" s="72">
        <f>+K100*3</f>
        <v>0</v>
      </c>
      <c r="M100" s="73"/>
      <c r="N100" s="72">
        <f>+M100*3</f>
        <v>0</v>
      </c>
      <c r="O100" s="74"/>
      <c r="P100" s="75">
        <f t="shared" si="9"/>
        <v>0</v>
      </c>
      <c r="Q100" s="76"/>
      <c r="R100" s="77">
        <f t="shared" si="8"/>
        <v>0</v>
      </c>
      <c r="S100" s="4"/>
      <c r="T100" s="78"/>
    </row>
    <row r="101" spans="8:21">
      <c r="I101" s="27" t="s">
        <v>41</v>
      </c>
      <c r="J101" s="30" t="s">
        <v>42</v>
      </c>
      <c r="K101" s="35"/>
      <c r="L101" s="21"/>
      <c r="M101" s="36"/>
      <c r="N101" s="21"/>
      <c r="O101" s="36">
        <v>35</v>
      </c>
      <c r="P101" s="31">
        <f t="shared" si="9"/>
        <v>150</v>
      </c>
      <c r="Q101" s="32"/>
      <c r="R101" s="29">
        <f t="shared" si="8"/>
        <v>150</v>
      </c>
      <c r="S101" s="4"/>
      <c r="T101" s="26"/>
    </row>
    <row r="102" spans="8:21">
      <c r="I102" s="27" t="s">
        <v>26</v>
      </c>
      <c r="J102" s="30" t="s">
        <v>48</v>
      </c>
      <c r="K102" s="18"/>
      <c r="L102" s="21">
        <v>0</v>
      </c>
      <c r="M102" s="20"/>
      <c r="N102" s="21">
        <v>0</v>
      </c>
      <c r="O102" s="36"/>
      <c r="P102" s="31">
        <f t="shared" si="9"/>
        <v>0</v>
      </c>
      <c r="Q102" s="32"/>
      <c r="R102" s="29">
        <f t="shared" si="8"/>
        <v>0</v>
      </c>
      <c r="S102" s="4"/>
      <c r="T102" s="26"/>
    </row>
    <row r="103" spans="8:21">
      <c r="I103" s="27" t="s">
        <v>67</v>
      </c>
      <c r="J103" s="28" t="s">
        <v>68</v>
      </c>
      <c r="K103" s="18"/>
      <c r="L103" s="21">
        <v>0</v>
      </c>
      <c r="M103" s="20"/>
      <c r="N103" s="21">
        <f>+M103*3</f>
        <v>0</v>
      </c>
      <c r="O103" s="22"/>
      <c r="P103" s="31">
        <f t="shared" si="9"/>
        <v>0</v>
      </c>
      <c r="Q103" s="24"/>
      <c r="R103" s="29">
        <f t="shared" si="8"/>
        <v>0</v>
      </c>
      <c r="S103" s="4"/>
      <c r="T103" s="26"/>
    </row>
    <row r="104" spans="8:21">
      <c r="I104" s="27" t="s">
        <v>21</v>
      </c>
      <c r="J104" s="28" t="s">
        <v>22</v>
      </c>
      <c r="K104" s="18"/>
      <c r="L104" s="21">
        <v>0</v>
      </c>
      <c r="M104" s="20"/>
      <c r="N104" s="21">
        <f>+M104*3</f>
        <v>0</v>
      </c>
      <c r="O104" s="36">
        <v>17</v>
      </c>
      <c r="P104" s="31">
        <f t="shared" si="9"/>
        <v>102</v>
      </c>
      <c r="Q104" s="24"/>
      <c r="R104" s="29">
        <f t="shared" si="8"/>
        <v>102</v>
      </c>
      <c r="S104" s="4"/>
      <c r="T104" s="26"/>
    </row>
    <row r="105" spans="8:21">
      <c r="I105" s="27" t="s">
        <v>43</v>
      </c>
      <c r="J105" s="28" t="s">
        <v>73</v>
      </c>
      <c r="K105" s="18"/>
      <c r="L105" s="21">
        <v>0</v>
      </c>
      <c r="M105" s="20"/>
      <c r="N105" s="21">
        <f>+M105*3</f>
        <v>0</v>
      </c>
      <c r="O105" s="36">
        <v>40</v>
      </c>
      <c r="P105" s="31">
        <f t="shared" si="9"/>
        <v>150</v>
      </c>
      <c r="Q105" s="24"/>
      <c r="R105" s="29">
        <f t="shared" si="8"/>
        <v>150</v>
      </c>
      <c r="S105" s="4"/>
      <c r="T105" s="26"/>
    </row>
    <row r="106" spans="8:21">
      <c r="I106" s="27" t="s">
        <v>44</v>
      </c>
      <c r="J106" s="30" t="s">
        <v>45</v>
      </c>
      <c r="K106" s="27"/>
      <c r="L106" s="21">
        <f>+K106*3</f>
        <v>0</v>
      </c>
      <c r="M106" s="36"/>
      <c r="N106" s="21"/>
      <c r="O106" s="36">
        <v>29</v>
      </c>
      <c r="P106" s="31">
        <f t="shared" si="9"/>
        <v>150</v>
      </c>
      <c r="Q106" s="32"/>
      <c r="R106" s="29">
        <f t="shared" si="8"/>
        <v>150</v>
      </c>
      <c r="S106" s="10"/>
      <c r="T106" s="26"/>
    </row>
    <row r="107" spans="8:21">
      <c r="I107" s="27" t="s">
        <v>14</v>
      </c>
      <c r="J107" s="30" t="s">
        <v>66</v>
      </c>
      <c r="K107" s="18"/>
      <c r="L107" s="21">
        <f>+K107*3</f>
        <v>0</v>
      </c>
      <c r="M107" s="20"/>
      <c r="N107" s="21">
        <v>0</v>
      </c>
      <c r="O107" s="36"/>
      <c r="P107" s="31">
        <f t="shared" si="9"/>
        <v>0</v>
      </c>
      <c r="Q107" s="32"/>
      <c r="R107" s="29">
        <f t="shared" si="8"/>
        <v>0</v>
      </c>
      <c r="S107" s="4"/>
      <c r="T107" s="26"/>
    </row>
    <row r="108" spans="8:21">
      <c r="I108" s="27" t="s">
        <v>15</v>
      </c>
      <c r="J108" s="28" t="s">
        <v>16</v>
      </c>
      <c r="K108" s="18"/>
      <c r="L108" s="21">
        <f>+K108*3</f>
        <v>0</v>
      </c>
      <c r="M108" s="20"/>
      <c r="N108" s="21">
        <v>0</v>
      </c>
      <c r="O108" s="36"/>
      <c r="P108" s="23">
        <f t="shared" si="9"/>
        <v>0</v>
      </c>
      <c r="Q108" s="24"/>
      <c r="R108" s="29">
        <f t="shared" si="8"/>
        <v>0</v>
      </c>
      <c r="S108" s="4"/>
      <c r="T108" s="26"/>
    </row>
    <row r="109" spans="8:21">
      <c r="I109" s="27" t="s">
        <v>17</v>
      </c>
      <c r="J109" s="30" t="s">
        <v>46</v>
      </c>
      <c r="K109" s="35"/>
      <c r="L109" s="21"/>
      <c r="M109" s="36"/>
      <c r="N109" s="21">
        <f>+M109*3</f>
        <v>0</v>
      </c>
      <c r="O109" s="36">
        <v>24</v>
      </c>
      <c r="P109" s="31">
        <f t="shared" si="9"/>
        <v>144</v>
      </c>
      <c r="Q109" s="32"/>
      <c r="R109" s="29">
        <f t="shared" si="8"/>
        <v>144</v>
      </c>
      <c r="S109" s="10"/>
      <c r="T109" s="26"/>
    </row>
    <row r="110" spans="8:21">
      <c r="I110" s="27" t="s">
        <v>75</v>
      </c>
      <c r="J110" s="30" t="s">
        <v>76</v>
      </c>
      <c r="K110" s="35"/>
      <c r="L110" s="21"/>
      <c r="M110" s="36"/>
      <c r="N110" s="21"/>
      <c r="O110" s="36">
        <v>25</v>
      </c>
      <c r="P110" s="31">
        <f t="shared" si="9"/>
        <v>150</v>
      </c>
      <c r="Q110" s="32"/>
      <c r="R110" s="29">
        <f t="shared" si="8"/>
        <v>150</v>
      </c>
      <c r="S110" s="10"/>
      <c r="T110" s="26"/>
    </row>
    <row r="111" spans="8:21">
      <c r="I111" s="38" t="s">
        <v>69</v>
      </c>
      <c r="J111" s="50" t="s">
        <v>70</v>
      </c>
      <c r="K111" s="51"/>
      <c r="L111" s="52">
        <v>0</v>
      </c>
      <c r="M111" s="53"/>
      <c r="N111" s="52">
        <f>+M111*3</f>
        <v>0</v>
      </c>
      <c r="O111" s="79">
        <v>27</v>
      </c>
      <c r="P111" s="54">
        <f t="shared" si="9"/>
        <v>150</v>
      </c>
      <c r="Q111" s="55"/>
      <c r="R111" s="39">
        <f t="shared" si="8"/>
        <v>150</v>
      </c>
      <c r="S111" s="4"/>
      <c r="T111" s="26"/>
    </row>
    <row r="112" spans="8:21">
      <c r="I112" s="41"/>
      <c r="J112" s="42"/>
      <c r="K112" s="65">
        <f t="shared" ref="K112:Q112" si="10">SUM(K81:K111)</f>
        <v>0</v>
      </c>
      <c r="L112" s="66">
        <f t="shared" si="10"/>
        <v>0</v>
      </c>
      <c r="M112" s="65">
        <f t="shared" si="10"/>
        <v>0</v>
      </c>
      <c r="N112" s="66">
        <f t="shared" si="10"/>
        <v>0</v>
      </c>
      <c r="O112" s="56">
        <f t="shared" si="10"/>
        <v>396</v>
      </c>
      <c r="P112" s="58">
        <f t="shared" si="10"/>
        <v>1956</v>
      </c>
      <c r="Q112" s="58">
        <f t="shared" si="10"/>
        <v>0</v>
      </c>
      <c r="R112" s="57">
        <f t="shared" si="8"/>
        <v>1956</v>
      </c>
      <c r="S112" s="40"/>
      <c r="T112" s="26"/>
    </row>
    <row r="113" spans="9:22">
      <c r="T113" s="26"/>
    </row>
    <row r="114" spans="9:22">
      <c r="N114" s="67"/>
      <c r="R114" s="6">
        <f>+R112-R100</f>
        <v>1956</v>
      </c>
    </row>
    <row r="116" spans="9:22">
      <c r="I116" s="418" t="s">
        <v>87</v>
      </c>
      <c r="J116" s="418"/>
      <c r="K116" s="418"/>
      <c r="L116" s="418"/>
      <c r="M116" s="418"/>
      <c r="N116" s="418"/>
      <c r="O116" s="418"/>
      <c r="P116" s="418"/>
      <c r="Q116" s="418"/>
      <c r="R116" s="418"/>
      <c r="T116" s="43"/>
    </row>
    <row r="117" spans="9:22">
      <c r="I117" s="11"/>
      <c r="J117" s="11"/>
      <c r="K117" s="428" t="s">
        <v>58</v>
      </c>
      <c r="L117" s="429"/>
      <c r="M117" s="429"/>
      <c r="N117" s="430"/>
      <c r="O117" s="428" t="s">
        <v>59</v>
      </c>
      <c r="P117" s="430"/>
      <c r="Q117" s="11"/>
      <c r="R117" s="11"/>
      <c r="T117" s="43"/>
    </row>
    <row r="118" spans="9:22" ht="40.5">
      <c r="I118" s="12" t="s">
        <v>11</v>
      </c>
      <c r="J118" s="12" t="s">
        <v>3</v>
      </c>
      <c r="K118" s="64" t="s">
        <v>23</v>
      </c>
      <c r="L118" s="64" t="s">
        <v>77</v>
      </c>
      <c r="M118" s="13" t="s">
        <v>23</v>
      </c>
      <c r="N118" s="13" t="s">
        <v>88</v>
      </c>
      <c r="O118" s="13" t="s">
        <v>23</v>
      </c>
      <c r="P118" s="13" t="s">
        <v>89</v>
      </c>
      <c r="Q118" s="13" t="s">
        <v>90</v>
      </c>
      <c r="R118" s="14" t="s">
        <v>60</v>
      </c>
      <c r="T118" s="43"/>
    </row>
    <row r="119" spans="9:22">
      <c r="I119" s="16" t="s">
        <v>61</v>
      </c>
      <c r="J119" s="17" t="s">
        <v>62</v>
      </c>
      <c r="K119" s="18"/>
      <c r="L119" s="19">
        <f>+K119*3</f>
        <v>0</v>
      </c>
      <c r="M119" s="20">
        <v>10</v>
      </c>
      <c r="N119" s="21">
        <v>0</v>
      </c>
      <c r="O119" s="22"/>
      <c r="P119" s="23"/>
      <c r="Q119" s="24"/>
      <c r="R119" s="25">
        <f>+L119+N119+P119+Q119</f>
        <v>0</v>
      </c>
      <c r="S119" s="4"/>
      <c r="T119" s="26"/>
    </row>
    <row r="120" spans="9:22">
      <c r="I120" s="27" t="s">
        <v>4</v>
      </c>
      <c r="J120" s="28" t="s">
        <v>12</v>
      </c>
      <c r="K120" s="18"/>
      <c r="L120" s="21">
        <f>+K120*3</f>
        <v>0</v>
      </c>
      <c r="M120" s="20">
        <v>5</v>
      </c>
      <c r="N120" s="21">
        <v>0</v>
      </c>
      <c r="O120" s="22"/>
      <c r="P120" s="23"/>
      <c r="Q120" s="24"/>
      <c r="R120" s="29">
        <f t="shared" ref="R120:R152" si="11">+L120+N120+P120+Q120</f>
        <v>0</v>
      </c>
      <c r="S120" s="4"/>
    </row>
    <row r="121" spans="9:22">
      <c r="I121" s="27" t="s">
        <v>1</v>
      </c>
      <c r="J121" s="30" t="s">
        <v>56</v>
      </c>
      <c r="K121" s="18"/>
      <c r="L121" s="21">
        <f>+K121*3</f>
        <v>0</v>
      </c>
      <c r="M121" s="20">
        <v>11</v>
      </c>
      <c r="N121" s="21">
        <f>+M121*3</f>
        <v>33</v>
      </c>
      <c r="O121" s="36"/>
      <c r="P121" s="31">
        <f>IF(O121&gt;25,150,(O121)*6)</f>
        <v>0</v>
      </c>
      <c r="Q121" s="32"/>
      <c r="R121" s="29">
        <f t="shared" si="11"/>
        <v>33</v>
      </c>
      <c r="S121" s="4"/>
      <c r="T121" s="26"/>
      <c r="U121" s="426">
        <v>43131</v>
      </c>
      <c r="V121" s="427"/>
    </row>
    <row r="122" spans="9:22">
      <c r="I122" s="27" t="s">
        <v>2</v>
      </c>
      <c r="J122" s="30" t="s">
        <v>47</v>
      </c>
      <c r="K122" s="35"/>
      <c r="L122" s="21"/>
      <c r="M122" s="36"/>
      <c r="N122" s="21"/>
      <c r="O122" s="36">
        <v>19</v>
      </c>
      <c r="P122" s="31">
        <f>IF(O122&gt;25,150,(O122)*6)</f>
        <v>114</v>
      </c>
      <c r="Q122" s="32"/>
      <c r="R122" s="29">
        <f t="shared" si="11"/>
        <v>114</v>
      </c>
      <c r="S122" s="4"/>
      <c r="T122" s="26"/>
    </row>
    <row r="123" spans="9:22">
      <c r="I123" s="27" t="s">
        <v>0</v>
      </c>
      <c r="J123" s="28" t="s">
        <v>7</v>
      </c>
      <c r="K123" s="18"/>
      <c r="L123" s="21">
        <f>+K123*5</f>
        <v>0</v>
      </c>
      <c r="M123" s="20"/>
      <c r="N123" s="21">
        <f>+M123*5</f>
        <v>0</v>
      </c>
      <c r="O123" s="22"/>
      <c r="P123" s="23"/>
      <c r="Q123" s="24"/>
      <c r="R123" s="29">
        <f t="shared" si="11"/>
        <v>0</v>
      </c>
      <c r="S123" s="4"/>
      <c r="T123" s="26"/>
    </row>
    <row r="124" spans="9:22">
      <c r="I124" s="27" t="s">
        <v>5</v>
      </c>
      <c r="J124" s="30" t="s">
        <v>71</v>
      </c>
      <c r="K124" s="18"/>
      <c r="L124" s="21">
        <f>+K124*3</f>
        <v>0</v>
      </c>
      <c r="M124" s="36">
        <v>14</v>
      </c>
      <c r="N124" s="21">
        <v>0</v>
      </c>
      <c r="O124" s="36"/>
      <c r="P124" s="31">
        <f>IF(O124&gt;25,150,(O124)*6)</f>
        <v>0</v>
      </c>
      <c r="Q124" s="32"/>
      <c r="R124" s="29">
        <f t="shared" si="11"/>
        <v>0</v>
      </c>
      <c r="S124" s="4"/>
      <c r="T124" s="26"/>
    </row>
    <row r="125" spans="9:22">
      <c r="I125" s="27" t="s">
        <v>27</v>
      </c>
      <c r="J125" s="30" t="s">
        <v>28</v>
      </c>
      <c r="K125" s="18"/>
      <c r="L125" s="21">
        <v>0</v>
      </c>
      <c r="M125" s="36">
        <v>15</v>
      </c>
      <c r="N125" s="21">
        <v>0</v>
      </c>
      <c r="O125" s="36"/>
      <c r="P125" s="31">
        <f t="shared" ref="P125:P151" si="12">IF(O125&gt;25,150,(O125)*6)</f>
        <v>0</v>
      </c>
      <c r="Q125" s="32"/>
      <c r="R125" s="29">
        <f t="shared" si="11"/>
        <v>0</v>
      </c>
      <c r="S125" s="4"/>
      <c r="T125" s="26"/>
    </row>
    <row r="126" spans="9:22">
      <c r="I126" s="27" t="s">
        <v>8</v>
      </c>
      <c r="J126" s="30" t="s">
        <v>29</v>
      </c>
      <c r="K126" s="35"/>
      <c r="L126" s="21"/>
      <c r="M126" s="36">
        <v>14</v>
      </c>
      <c r="N126" s="21">
        <v>0</v>
      </c>
      <c r="O126" s="36"/>
      <c r="P126" s="31">
        <f t="shared" si="12"/>
        <v>0</v>
      </c>
      <c r="Q126" s="32"/>
      <c r="R126" s="29">
        <f t="shared" si="11"/>
        <v>0</v>
      </c>
      <c r="S126" s="4"/>
      <c r="T126" s="26"/>
    </row>
    <row r="127" spans="9:22">
      <c r="I127" s="27" t="s">
        <v>25</v>
      </c>
      <c r="J127" s="30" t="s">
        <v>33</v>
      </c>
      <c r="K127" s="35"/>
      <c r="L127" s="21"/>
      <c r="M127" s="36">
        <v>15</v>
      </c>
      <c r="N127" s="21">
        <v>0</v>
      </c>
      <c r="O127" s="36">
        <v>13</v>
      </c>
      <c r="P127" s="31">
        <f t="shared" si="12"/>
        <v>78</v>
      </c>
      <c r="Q127" s="32"/>
      <c r="R127" s="29">
        <f t="shared" si="11"/>
        <v>78</v>
      </c>
      <c r="S127" s="4"/>
      <c r="T127" s="26"/>
    </row>
    <row r="128" spans="9:22">
      <c r="I128" s="27" t="s">
        <v>24</v>
      </c>
      <c r="J128" s="30" t="s">
        <v>30</v>
      </c>
      <c r="K128" s="18"/>
      <c r="L128" s="21">
        <v>0</v>
      </c>
      <c r="M128" s="20"/>
      <c r="N128" s="21">
        <v>0</v>
      </c>
      <c r="O128" s="36">
        <v>31</v>
      </c>
      <c r="P128" s="31">
        <f t="shared" si="12"/>
        <v>150</v>
      </c>
      <c r="Q128" s="32"/>
      <c r="R128" s="29">
        <f t="shared" si="11"/>
        <v>150</v>
      </c>
      <c r="S128" s="4"/>
      <c r="T128" s="26">
        <v>860</v>
      </c>
      <c r="U128">
        <v>111.8</v>
      </c>
      <c r="V128">
        <v>748.2</v>
      </c>
    </row>
    <row r="129" spans="8:22">
      <c r="I129" s="27" t="s">
        <v>18</v>
      </c>
      <c r="J129" s="28" t="s">
        <v>72</v>
      </c>
      <c r="K129" s="18"/>
      <c r="L129" s="21">
        <f>+K129*3</f>
        <v>0</v>
      </c>
      <c r="M129" s="20">
        <v>16</v>
      </c>
      <c r="N129" s="21">
        <v>0</v>
      </c>
      <c r="O129" s="36"/>
      <c r="P129" s="31">
        <f t="shared" si="12"/>
        <v>0</v>
      </c>
      <c r="Q129" s="24"/>
      <c r="R129" s="29">
        <f t="shared" si="11"/>
        <v>0</v>
      </c>
      <c r="S129" s="4"/>
      <c r="T129" s="26">
        <f>+U129+V129</f>
        <v>827.58620689655174</v>
      </c>
      <c r="U129">
        <f>+U128*V129/V128</f>
        <v>107.58620689655172</v>
      </c>
      <c r="V129">
        <v>720</v>
      </c>
    </row>
    <row r="130" spans="8:22">
      <c r="I130" s="27" t="s">
        <v>31</v>
      </c>
      <c r="J130" s="30" t="s">
        <v>32</v>
      </c>
      <c r="K130" s="35"/>
      <c r="L130" s="21"/>
      <c r="M130" s="36"/>
      <c r="N130" s="21"/>
      <c r="O130" s="36">
        <v>38</v>
      </c>
      <c r="P130" s="31">
        <f t="shared" si="12"/>
        <v>150</v>
      </c>
      <c r="Q130" s="32"/>
      <c r="R130" s="29">
        <f t="shared" si="11"/>
        <v>150</v>
      </c>
      <c r="S130" s="4"/>
      <c r="T130" s="63">
        <f>+T128-T129</f>
        <v>32.413793103448256</v>
      </c>
    </row>
    <row r="131" spans="8:22">
      <c r="I131" s="27" t="s">
        <v>54</v>
      </c>
      <c r="J131" s="30" t="s">
        <v>55</v>
      </c>
      <c r="K131" s="18"/>
      <c r="L131" s="21">
        <f>+K131*3</f>
        <v>0</v>
      </c>
      <c r="M131" s="20"/>
      <c r="N131" s="21">
        <f>+M131*3</f>
        <v>0</v>
      </c>
      <c r="O131" s="36"/>
      <c r="P131" s="31">
        <f t="shared" si="12"/>
        <v>0</v>
      </c>
      <c r="Q131" s="32"/>
      <c r="R131" s="29">
        <f t="shared" si="11"/>
        <v>0</v>
      </c>
      <c r="S131" s="4"/>
      <c r="T131" s="26">
        <v>150</v>
      </c>
      <c r="U131" s="68">
        <f>+T131-T130</f>
        <v>117.58620689655174</v>
      </c>
    </row>
    <row r="132" spans="8:22">
      <c r="I132" s="27" t="s">
        <v>10</v>
      </c>
      <c r="J132" s="30" t="s">
        <v>34</v>
      </c>
      <c r="K132" s="35"/>
      <c r="L132" s="21"/>
      <c r="M132" s="36"/>
      <c r="N132" s="21"/>
      <c r="O132" s="36"/>
      <c r="P132" s="31">
        <f t="shared" si="12"/>
        <v>0</v>
      </c>
      <c r="Q132" s="32"/>
      <c r="R132" s="29">
        <f t="shared" si="11"/>
        <v>0</v>
      </c>
      <c r="S132" s="4"/>
      <c r="T132" s="26"/>
    </row>
    <row r="133" spans="8:22">
      <c r="I133" s="27" t="s">
        <v>9</v>
      </c>
      <c r="J133" s="30" t="s">
        <v>35</v>
      </c>
      <c r="K133" s="35"/>
      <c r="L133" s="21"/>
      <c r="M133" s="36"/>
      <c r="N133" s="21"/>
      <c r="O133" s="36">
        <v>40</v>
      </c>
      <c r="P133" s="31">
        <f t="shared" si="12"/>
        <v>150</v>
      </c>
      <c r="Q133" s="32"/>
      <c r="R133" s="29">
        <f t="shared" si="11"/>
        <v>150</v>
      </c>
      <c r="S133" s="4"/>
      <c r="T133" s="26">
        <v>828</v>
      </c>
      <c r="U133">
        <v>107.64</v>
      </c>
      <c r="V133">
        <v>720.36</v>
      </c>
    </row>
    <row r="134" spans="8:22">
      <c r="I134" s="27" t="s">
        <v>36</v>
      </c>
      <c r="J134" s="30" t="s">
        <v>37</v>
      </c>
      <c r="K134" s="35"/>
      <c r="L134" s="21"/>
      <c r="M134" s="36"/>
      <c r="N134" s="21"/>
      <c r="O134" s="36">
        <v>25</v>
      </c>
      <c r="P134" s="31">
        <f t="shared" si="12"/>
        <v>150</v>
      </c>
      <c r="Q134" s="32"/>
      <c r="R134" s="29">
        <f t="shared" si="11"/>
        <v>150</v>
      </c>
      <c r="S134" s="4"/>
      <c r="T134" s="26">
        <f>+U134+V134</f>
        <v>827.58620689655174</v>
      </c>
      <c r="U134">
        <f>+U133*V134/V133</f>
        <v>107.58620689655173</v>
      </c>
      <c r="V134">
        <v>720</v>
      </c>
    </row>
    <row r="135" spans="8:22">
      <c r="I135" s="27" t="s">
        <v>64</v>
      </c>
      <c r="J135" s="30" t="s">
        <v>65</v>
      </c>
      <c r="K135" s="35"/>
      <c r="L135" s="21"/>
      <c r="M135" s="36"/>
      <c r="N135" s="21"/>
      <c r="O135" s="36">
        <v>33</v>
      </c>
      <c r="P135" s="31">
        <f t="shared" si="12"/>
        <v>150</v>
      </c>
      <c r="Q135" s="32"/>
      <c r="R135" s="29">
        <f t="shared" si="11"/>
        <v>150</v>
      </c>
      <c r="S135" s="4"/>
      <c r="T135" s="63">
        <f>+T133-T134</f>
        <v>0.41379310344825626</v>
      </c>
    </row>
    <row r="136" spans="8:22">
      <c r="I136" s="27" t="s">
        <v>13</v>
      </c>
      <c r="J136" s="30" t="s">
        <v>38</v>
      </c>
      <c r="K136" s="35"/>
      <c r="L136" s="21"/>
      <c r="M136" s="36"/>
      <c r="N136" s="21"/>
      <c r="O136" s="36">
        <v>29</v>
      </c>
      <c r="P136" s="31">
        <f t="shared" si="12"/>
        <v>150</v>
      </c>
      <c r="Q136" s="32"/>
      <c r="R136" s="29">
        <f t="shared" si="11"/>
        <v>150</v>
      </c>
      <c r="S136" s="4"/>
      <c r="T136" s="26">
        <v>150</v>
      </c>
      <c r="U136" s="68">
        <f>+T136-T135</f>
        <v>149.58620689655174</v>
      </c>
    </row>
    <row r="137" spans="8:22">
      <c r="I137" s="27" t="s">
        <v>39</v>
      </c>
      <c r="J137" s="30" t="s">
        <v>40</v>
      </c>
      <c r="K137" s="35"/>
      <c r="L137" s="21"/>
      <c r="M137" s="36"/>
      <c r="N137" s="21"/>
      <c r="O137" s="36"/>
      <c r="P137" s="31">
        <f t="shared" si="12"/>
        <v>0</v>
      </c>
      <c r="Q137" s="32"/>
      <c r="R137" s="29">
        <f t="shared" si="11"/>
        <v>0</v>
      </c>
      <c r="S137" s="4"/>
      <c r="T137" s="26"/>
    </row>
    <row r="138" spans="8:22">
      <c r="H138" s="80" t="s">
        <v>84</v>
      </c>
      <c r="I138" s="69" t="s">
        <v>19</v>
      </c>
      <c r="J138" s="70" t="s">
        <v>20</v>
      </c>
      <c r="K138" s="71"/>
      <c r="L138" s="72">
        <f>+K138*3</f>
        <v>0</v>
      </c>
      <c r="M138" s="73">
        <v>10</v>
      </c>
      <c r="N138" s="72">
        <v>0</v>
      </c>
      <c r="O138" s="74"/>
      <c r="P138" s="75">
        <f t="shared" si="12"/>
        <v>0</v>
      </c>
      <c r="Q138" s="76"/>
      <c r="R138" s="77">
        <f t="shared" si="11"/>
        <v>0</v>
      </c>
      <c r="S138" s="4"/>
      <c r="T138" s="78"/>
    </row>
    <row r="139" spans="8:22">
      <c r="I139" s="27" t="s">
        <v>41</v>
      </c>
      <c r="J139" s="30" t="s">
        <v>42</v>
      </c>
      <c r="K139" s="35"/>
      <c r="L139" s="21"/>
      <c r="M139" s="36"/>
      <c r="N139" s="21"/>
      <c r="O139" s="36">
        <v>34</v>
      </c>
      <c r="P139" s="31">
        <f t="shared" si="12"/>
        <v>150</v>
      </c>
      <c r="Q139" s="32"/>
      <c r="R139" s="29">
        <f t="shared" si="11"/>
        <v>150</v>
      </c>
      <c r="S139" s="4"/>
      <c r="T139" s="26"/>
    </row>
    <row r="140" spans="8:22">
      <c r="I140" s="27" t="s">
        <v>26</v>
      </c>
      <c r="J140" s="30" t="s">
        <v>48</v>
      </c>
      <c r="K140" s="18"/>
      <c r="L140" s="21">
        <v>0</v>
      </c>
      <c r="M140" s="20">
        <v>13</v>
      </c>
      <c r="N140" s="21">
        <v>0</v>
      </c>
      <c r="O140" s="36"/>
      <c r="P140" s="31">
        <f t="shared" si="12"/>
        <v>0</v>
      </c>
      <c r="Q140" s="32"/>
      <c r="R140" s="29">
        <f t="shared" si="11"/>
        <v>0</v>
      </c>
      <c r="S140" s="4"/>
      <c r="T140" s="26"/>
    </row>
    <row r="141" spans="8:22">
      <c r="I141" s="27" t="s">
        <v>67</v>
      </c>
      <c r="J141" s="28" t="s">
        <v>68</v>
      </c>
      <c r="K141" s="18"/>
      <c r="L141" s="21">
        <v>0</v>
      </c>
      <c r="M141" s="20"/>
      <c r="N141" s="21">
        <f>+M141*3</f>
        <v>0</v>
      </c>
      <c r="O141" s="22"/>
      <c r="P141" s="31">
        <f t="shared" si="12"/>
        <v>0</v>
      </c>
      <c r="Q141" s="24"/>
      <c r="R141" s="29">
        <f t="shared" si="11"/>
        <v>0</v>
      </c>
      <c r="S141" s="4"/>
      <c r="T141" s="26"/>
    </row>
    <row r="142" spans="8:22">
      <c r="I142" s="27" t="s">
        <v>21</v>
      </c>
      <c r="J142" s="28" t="s">
        <v>22</v>
      </c>
      <c r="K142" s="18"/>
      <c r="L142" s="21">
        <v>0</v>
      </c>
      <c r="M142" s="20"/>
      <c r="N142" s="21">
        <f>+M142*3</f>
        <v>0</v>
      </c>
      <c r="O142" s="36">
        <v>27</v>
      </c>
      <c r="P142" s="31">
        <f t="shared" si="12"/>
        <v>150</v>
      </c>
      <c r="Q142" s="24"/>
      <c r="R142" s="29">
        <f t="shared" si="11"/>
        <v>150</v>
      </c>
      <c r="S142" s="4"/>
      <c r="T142" s="26"/>
    </row>
    <row r="143" spans="8:22">
      <c r="I143" s="27" t="s">
        <v>43</v>
      </c>
      <c r="J143" s="28" t="s">
        <v>73</v>
      </c>
      <c r="K143" s="18"/>
      <c r="L143" s="21">
        <v>0</v>
      </c>
      <c r="M143" s="20"/>
      <c r="N143" s="21">
        <f>+M143*3</f>
        <v>0</v>
      </c>
      <c r="O143" s="36">
        <v>40</v>
      </c>
      <c r="P143" s="31">
        <f t="shared" si="12"/>
        <v>150</v>
      </c>
      <c r="Q143" s="24"/>
      <c r="R143" s="29">
        <f t="shared" si="11"/>
        <v>150</v>
      </c>
      <c r="S143" s="4"/>
      <c r="T143" s="26"/>
    </row>
    <row r="144" spans="8:22">
      <c r="I144" s="27" t="s">
        <v>44</v>
      </c>
      <c r="J144" s="30" t="s">
        <v>45</v>
      </c>
      <c r="K144" s="27"/>
      <c r="L144" s="21">
        <f>+K144*3</f>
        <v>0</v>
      </c>
      <c r="M144" s="36"/>
      <c r="N144" s="21"/>
      <c r="O144" s="36">
        <v>33</v>
      </c>
      <c r="P144" s="31">
        <f t="shared" si="12"/>
        <v>150</v>
      </c>
      <c r="Q144" s="32"/>
      <c r="R144" s="29">
        <f t="shared" si="11"/>
        <v>150</v>
      </c>
      <c r="S144" s="10"/>
      <c r="T144" s="26"/>
    </row>
    <row r="145" spans="9:20">
      <c r="I145" s="27" t="s">
        <v>14</v>
      </c>
      <c r="J145" s="30" t="s">
        <v>66</v>
      </c>
      <c r="K145" s="18"/>
      <c r="L145" s="21">
        <f>+K145*3</f>
        <v>0</v>
      </c>
      <c r="M145" s="20">
        <v>15</v>
      </c>
      <c r="N145" s="21">
        <v>0</v>
      </c>
      <c r="O145" s="36"/>
      <c r="P145" s="31">
        <f t="shared" si="12"/>
        <v>0</v>
      </c>
      <c r="Q145" s="32"/>
      <c r="R145" s="29">
        <f t="shared" si="11"/>
        <v>0</v>
      </c>
      <c r="S145" s="4"/>
      <c r="T145" s="26"/>
    </row>
    <row r="146" spans="9:20">
      <c r="I146" s="27" t="s">
        <v>15</v>
      </c>
      <c r="J146" s="28" t="s">
        <v>16</v>
      </c>
      <c r="K146" s="18"/>
      <c r="L146" s="21">
        <f>+K146*3</f>
        <v>0</v>
      </c>
      <c r="M146" s="20">
        <v>17</v>
      </c>
      <c r="N146" s="21">
        <v>0</v>
      </c>
      <c r="O146" s="36"/>
      <c r="P146" s="23">
        <f t="shared" si="12"/>
        <v>0</v>
      </c>
      <c r="Q146" s="24"/>
      <c r="R146" s="29">
        <f t="shared" si="11"/>
        <v>0</v>
      </c>
      <c r="S146" s="4"/>
      <c r="T146" s="26"/>
    </row>
    <row r="147" spans="9:20">
      <c r="I147" s="27" t="s">
        <v>17</v>
      </c>
      <c r="J147" s="30" t="s">
        <v>46</v>
      </c>
      <c r="K147" s="35"/>
      <c r="L147" s="21"/>
      <c r="M147" s="36"/>
      <c r="N147" s="21">
        <f>+M147*3</f>
        <v>0</v>
      </c>
      <c r="O147" s="36">
        <v>9</v>
      </c>
      <c r="P147" s="31">
        <f t="shared" si="12"/>
        <v>54</v>
      </c>
      <c r="Q147" s="32"/>
      <c r="R147" s="29">
        <f t="shared" si="11"/>
        <v>54</v>
      </c>
      <c r="S147" s="10"/>
      <c r="T147" s="26"/>
    </row>
    <row r="148" spans="9:20">
      <c r="I148" s="27" t="s">
        <v>75</v>
      </c>
      <c r="J148" s="30" t="s">
        <v>76</v>
      </c>
      <c r="K148" s="35"/>
      <c r="L148" s="21"/>
      <c r="M148" s="36"/>
      <c r="N148" s="21"/>
      <c r="O148" s="36">
        <v>25</v>
      </c>
      <c r="P148" s="31">
        <f t="shared" si="12"/>
        <v>150</v>
      </c>
      <c r="Q148" s="32"/>
      <c r="R148" s="29">
        <f t="shared" si="11"/>
        <v>150</v>
      </c>
      <c r="S148" s="10"/>
      <c r="T148" s="26"/>
    </row>
    <row r="149" spans="9:20">
      <c r="I149" s="27" t="s">
        <v>69</v>
      </c>
      <c r="J149" s="30" t="s">
        <v>70</v>
      </c>
      <c r="K149" s="35"/>
      <c r="L149" s="21">
        <v>0</v>
      </c>
      <c r="M149" s="36"/>
      <c r="N149" s="21">
        <f>+M149*3</f>
        <v>0</v>
      </c>
      <c r="O149" s="36">
        <v>29</v>
      </c>
      <c r="P149" s="31">
        <f t="shared" si="12"/>
        <v>150</v>
      </c>
      <c r="Q149" s="32"/>
      <c r="R149" s="29">
        <f t="shared" si="11"/>
        <v>150</v>
      </c>
      <c r="S149" s="10"/>
      <c r="T149" s="26"/>
    </row>
    <row r="150" spans="9:20">
      <c r="I150" s="27" t="s">
        <v>91</v>
      </c>
      <c r="J150" s="30" t="s">
        <v>92</v>
      </c>
      <c r="K150" s="35"/>
      <c r="L150" s="21">
        <v>0</v>
      </c>
      <c r="M150" s="36">
        <v>7</v>
      </c>
      <c r="N150" s="21">
        <v>0</v>
      </c>
      <c r="O150" s="36"/>
      <c r="P150" s="31">
        <f t="shared" si="12"/>
        <v>0</v>
      </c>
      <c r="Q150" s="32"/>
      <c r="R150" s="29">
        <f t="shared" si="11"/>
        <v>0</v>
      </c>
      <c r="S150" s="10"/>
      <c r="T150" s="26"/>
    </row>
    <row r="151" spans="9:20">
      <c r="I151" s="38" t="s">
        <v>93</v>
      </c>
      <c r="J151" s="50" t="s">
        <v>94</v>
      </c>
      <c r="K151" s="51"/>
      <c r="L151" s="52">
        <v>0</v>
      </c>
      <c r="M151" s="53">
        <v>6</v>
      </c>
      <c r="N151" s="52">
        <v>0</v>
      </c>
      <c r="O151" s="79"/>
      <c r="P151" s="54">
        <f t="shared" si="12"/>
        <v>0</v>
      </c>
      <c r="Q151" s="55"/>
      <c r="R151" s="39">
        <f t="shared" si="11"/>
        <v>0</v>
      </c>
      <c r="S151" s="4"/>
      <c r="T151" s="26"/>
    </row>
    <row r="152" spans="9:20">
      <c r="I152" s="41"/>
      <c r="J152" s="42"/>
      <c r="K152" s="65">
        <f t="shared" ref="K152:Q152" si="13">SUM(K119:K151)</f>
        <v>0</v>
      </c>
      <c r="L152" s="66">
        <f t="shared" si="13"/>
        <v>0</v>
      </c>
      <c r="M152" s="56">
        <f t="shared" si="13"/>
        <v>168</v>
      </c>
      <c r="N152" s="58">
        <f t="shared" si="13"/>
        <v>33</v>
      </c>
      <c r="O152" s="56">
        <f t="shared" si="13"/>
        <v>425</v>
      </c>
      <c r="P152" s="58">
        <f t="shared" si="13"/>
        <v>2046</v>
      </c>
      <c r="Q152" s="58">
        <f t="shared" si="13"/>
        <v>0</v>
      </c>
      <c r="R152" s="57">
        <f t="shared" si="11"/>
        <v>2079</v>
      </c>
      <c r="S152" s="40"/>
      <c r="T152" s="26"/>
    </row>
    <row r="153" spans="9:20">
      <c r="T153" s="26"/>
    </row>
    <row r="154" spans="9:20">
      <c r="N154" s="67"/>
      <c r="R154" s="6">
        <f>+R152-R138</f>
        <v>2079</v>
      </c>
    </row>
    <row r="157" spans="9:20">
      <c r="I157" s="418" t="s">
        <v>95</v>
      </c>
      <c r="J157" s="418"/>
      <c r="K157" s="418"/>
      <c r="L157" s="418"/>
      <c r="M157" s="418"/>
      <c r="N157" s="418"/>
      <c r="O157" s="418"/>
      <c r="P157" s="418"/>
      <c r="Q157" s="418"/>
      <c r="R157" s="418"/>
      <c r="T157" s="43"/>
    </row>
    <row r="158" spans="9:20">
      <c r="I158" s="11"/>
      <c r="J158" s="11"/>
      <c r="K158" s="428" t="s">
        <v>58</v>
      </c>
      <c r="L158" s="429"/>
      <c r="M158" s="429"/>
      <c r="N158" s="430"/>
      <c r="O158" s="428" t="s">
        <v>59</v>
      </c>
      <c r="P158" s="430"/>
      <c r="Q158" s="11"/>
      <c r="R158" s="11"/>
      <c r="T158" s="43"/>
    </row>
    <row r="159" spans="9:20" ht="40.5">
      <c r="I159" s="12" t="s">
        <v>11</v>
      </c>
      <c r="J159" s="12" t="s">
        <v>3</v>
      </c>
      <c r="K159" s="64" t="s">
        <v>23</v>
      </c>
      <c r="L159" s="64" t="s">
        <v>77</v>
      </c>
      <c r="M159" s="13" t="s">
        <v>23</v>
      </c>
      <c r="N159" s="13" t="s">
        <v>96</v>
      </c>
      <c r="O159" s="13" t="s">
        <v>23</v>
      </c>
      <c r="P159" s="13" t="s">
        <v>97</v>
      </c>
      <c r="Q159" s="13" t="s">
        <v>98</v>
      </c>
      <c r="R159" s="14" t="s">
        <v>60</v>
      </c>
      <c r="T159" s="43"/>
    </row>
    <row r="160" spans="9:20">
      <c r="I160" s="16" t="s">
        <v>61</v>
      </c>
      <c r="J160" s="17" t="s">
        <v>62</v>
      </c>
      <c r="K160" s="18"/>
      <c r="L160" s="19">
        <f>+K160*3</f>
        <v>0</v>
      </c>
      <c r="M160" s="20">
        <v>21</v>
      </c>
      <c r="N160" s="21">
        <f>+M160*3</f>
        <v>63</v>
      </c>
      <c r="O160" s="22"/>
      <c r="P160" s="23"/>
      <c r="Q160" s="24"/>
      <c r="R160" s="81">
        <f>+L160+N160+P160+Q160</f>
        <v>63</v>
      </c>
      <c r="S160" s="4"/>
      <c r="T160" s="26"/>
    </row>
    <row r="161" spans="8:22">
      <c r="I161" s="27" t="s">
        <v>4</v>
      </c>
      <c r="J161" s="28" t="s">
        <v>12</v>
      </c>
      <c r="K161" s="18"/>
      <c r="L161" s="21">
        <f>+K161*3</f>
        <v>0</v>
      </c>
      <c r="M161" s="20">
        <v>15</v>
      </c>
      <c r="N161" s="21">
        <v>0</v>
      </c>
      <c r="O161" s="22"/>
      <c r="P161" s="23"/>
      <c r="Q161" s="24"/>
      <c r="R161" s="29">
        <f t="shared" ref="R161:R194" si="14">+L161+N161+P161+Q161</f>
        <v>0</v>
      </c>
      <c r="S161" s="4"/>
    </row>
    <row r="162" spans="8:22">
      <c r="I162" s="27" t="s">
        <v>1</v>
      </c>
      <c r="J162" s="30" t="s">
        <v>56</v>
      </c>
      <c r="K162" s="18"/>
      <c r="L162" s="21">
        <f>+K162*3</f>
        <v>0</v>
      </c>
      <c r="M162" s="20">
        <v>26</v>
      </c>
      <c r="N162" s="21">
        <f>+M162*3</f>
        <v>78</v>
      </c>
      <c r="O162" s="36"/>
      <c r="P162" s="31">
        <f>IF(O162&gt;25,150,(O162)*6)</f>
        <v>0</v>
      </c>
      <c r="Q162" s="32"/>
      <c r="R162" s="49">
        <f t="shared" si="14"/>
        <v>78</v>
      </c>
      <c r="S162" s="4"/>
      <c r="T162" s="26"/>
      <c r="U162" s="426">
        <v>43138</v>
      </c>
      <c r="V162" s="427"/>
    </row>
    <row r="163" spans="8:22">
      <c r="I163" s="27" t="s">
        <v>2</v>
      </c>
      <c r="J163" s="30" t="s">
        <v>47</v>
      </c>
      <c r="K163" s="35"/>
      <c r="L163" s="21"/>
      <c r="M163" s="36"/>
      <c r="N163" s="21"/>
      <c r="O163" s="36">
        <v>11</v>
      </c>
      <c r="P163" s="31">
        <f>IF(O163&gt;25,150,(O163)*6)</f>
        <v>66</v>
      </c>
      <c r="Q163" s="32"/>
      <c r="R163" s="49">
        <f t="shared" si="14"/>
        <v>66</v>
      </c>
      <c r="S163" s="4"/>
      <c r="T163" s="26"/>
    </row>
    <row r="164" spans="8:22">
      <c r="I164" s="27" t="s">
        <v>0</v>
      </c>
      <c r="J164" s="28" t="s">
        <v>7</v>
      </c>
      <c r="K164" s="18"/>
      <c r="L164" s="21">
        <f>+K164*5</f>
        <v>0</v>
      </c>
      <c r="M164" s="20"/>
      <c r="N164" s="21">
        <f>+M164*5</f>
        <v>0</v>
      </c>
      <c r="O164" s="22"/>
      <c r="P164" s="23"/>
      <c r="Q164" s="24"/>
      <c r="R164" s="29">
        <f t="shared" si="14"/>
        <v>0</v>
      </c>
      <c r="S164" s="4"/>
      <c r="T164" s="26"/>
    </row>
    <row r="165" spans="8:22">
      <c r="I165" s="27" t="s">
        <v>5</v>
      </c>
      <c r="J165" s="30" t="s">
        <v>71</v>
      </c>
      <c r="K165" s="18"/>
      <c r="L165" s="21">
        <f>+K165*3</f>
        <v>0</v>
      </c>
      <c r="M165" s="36">
        <v>25</v>
      </c>
      <c r="N165" s="21">
        <f>+M165*3</f>
        <v>75</v>
      </c>
      <c r="O165" s="36"/>
      <c r="P165" s="31">
        <f t="shared" ref="P165:P193" si="15">IF(O165&gt;25,150,(O165)*6)</f>
        <v>0</v>
      </c>
      <c r="Q165" s="32">
        <v>20</v>
      </c>
      <c r="R165" s="49">
        <f t="shared" si="14"/>
        <v>95</v>
      </c>
      <c r="S165" s="4"/>
      <c r="T165" s="26"/>
    </row>
    <row r="166" spans="8:22">
      <c r="I166" s="27" t="s">
        <v>27</v>
      </c>
      <c r="J166" s="30" t="s">
        <v>28</v>
      </c>
      <c r="K166" s="18"/>
      <c r="L166" s="21">
        <v>0</v>
      </c>
      <c r="M166" s="36">
        <v>21</v>
      </c>
      <c r="N166" s="21">
        <f>+M166*3</f>
        <v>63</v>
      </c>
      <c r="O166" s="36"/>
      <c r="P166" s="31">
        <f t="shared" si="15"/>
        <v>0</v>
      </c>
      <c r="Q166" s="32">
        <v>20</v>
      </c>
      <c r="R166" s="49">
        <f t="shared" si="14"/>
        <v>83</v>
      </c>
      <c r="S166" s="4"/>
      <c r="T166" s="26"/>
    </row>
    <row r="167" spans="8:22">
      <c r="I167" s="27" t="s">
        <v>8</v>
      </c>
      <c r="J167" s="30" t="s">
        <v>29</v>
      </c>
      <c r="K167" s="35"/>
      <c r="L167" s="21"/>
      <c r="M167" s="36">
        <v>27</v>
      </c>
      <c r="N167" s="21">
        <f>+M167*3</f>
        <v>81</v>
      </c>
      <c r="O167" s="36"/>
      <c r="P167" s="31">
        <f t="shared" si="15"/>
        <v>0</v>
      </c>
      <c r="Q167" s="32"/>
      <c r="R167" s="49">
        <f t="shared" si="14"/>
        <v>81</v>
      </c>
      <c r="S167" s="4"/>
      <c r="T167" s="26"/>
    </row>
    <row r="168" spans="8:22">
      <c r="I168" s="27" t="s">
        <v>25</v>
      </c>
      <c r="J168" s="30" t="s">
        <v>33</v>
      </c>
      <c r="K168" s="35"/>
      <c r="L168" s="21"/>
      <c r="M168" s="36"/>
      <c r="N168" s="21">
        <v>0</v>
      </c>
      <c r="O168" s="36">
        <v>33</v>
      </c>
      <c r="P168" s="31">
        <f t="shared" si="15"/>
        <v>150</v>
      </c>
      <c r="Q168" s="32"/>
      <c r="R168" s="49">
        <f t="shared" si="14"/>
        <v>150</v>
      </c>
      <c r="S168" s="4"/>
      <c r="T168" s="26"/>
    </row>
    <row r="169" spans="8:22">
      <c r="I169" s="27" t="s">
        <v>24</v>
      </c>
      <c r="J169" s="30" t="s">
        <v>30</v>
      </c>
      <c r="K169" s="18"/>
      <c r="L169" s="21">
        <v>0</v>
      </c>
      <c r="M169" s="20">
        <v>18</v>
      </c>
      <c r="N169" s="21">
        <v>0</v>
      </c>
      <c r="O169" s="36"/>
      <c r="P169" s="31">
        <f t="shared" si="15"/>
        <v>0</v>
      </c>
      <c r="Q169" s="32"/>
      <c r="R169" s="29">
        <f t="shared" si="14"/>
        <v>0</v>
      </c>
      <c r="S169" s="4"/>
      <c r="T169" s="26">
        <v>860</v>
      </c>
      <c r="U169">
        <v>111.8</v>
      </c>
      <c r="V169">
        <v>748.2</v>
      </c>
    </row>
    <row r="170" spans="8:22">
      <c r="I170" s="27" t="s">
        <v>18</v>
      </c>
      <c r="J170" s="28" t="s">
        <v>72</v>
      </c>
      <c r="K170" s="18"/>
      <c r="L170" s="21">
        <f>+K170*3</f>
        <v>0</v>
      </c>
      <c r="M170" s="20">
        <v>23</v>
      </c>
      <c r="N170" s="21">
        <f>+M170*3</f>
        <v>69</v>
      </c>
      <c r="O170" s="36"/>
      <c r="P170" s="31">
        <f t="shared" si="15"/>
        <v>0</v>
      </c>
      <c r="Q170" s="24">
        <v>20</v>
      </c>
      <c r="R170" s="49">
        <f t="shared" si="14"/>
        <v>89</v>
      </c>
      <c r="S170" s="4"/>
      <c r="T170" s="26">
        <f>+U170+V170</f>
        <v>827.58620689655174</v>
      </c>
      <c r="U170">
        <f>+U169*V170/V169</f>
        <v>107.58620689655172</v>
      </c>
      <c r="V170">
        <v>720</v>
      </c>
    </row>
    <row r="171" spans="8:22">
      <c r="H171" s="82" t="s">
        <v>84</v>
      </c>
      <c r="I171" s="83" t="s">
        <v>6</v>
      </c>
      <c r="J171" s="84" t="s">
        <v>99</v>
      </c>
      <c r="K171" s="85"/>
      <c r="L171" s="86">
        <f>+K171*3</f>
        <v>0</v>
      </c>
      <c r="M171" s="87">
        <v>23</v>
      </c>
      <c r="N171" s="86">
        <f>+M171*3</f>
        <v>69</v>
      </c>
      <c r="O171" s="88"/>
      <c r="P171" s="89">
        <f>IF(O171&gt;25,150,(O171)*6)</f>
        <v>0</v>
      </c>
      <c r="Q171" s="90"/>
      <c r="R171" s="91">
        <f>+L171+N171+P171+Q171</f>
        <v>69</v>
      </c>
      <c r="S171" s="4"/>
      <c r="T171" s="63">
        <f>+T169-T170</f>
        <v>32.413793103448256</v>
      </c>
    </row>
    <row r="172" spans="8:22">
      <c r="I172" s="27" t="s">
        <v>31</v>
      </c>
      <c r="J172" s="30" t="s">
        <v>32</v>
      </c>
      <c r="K172" s="35"/>
      <c r="L172" s="21"/>
      <c r="M172" s="36"/>
      <c r="N172" s="21"/>
      <c r="O172" s="36">
        <v>30</v>
      </c>
      <c r="P172" s="31">
        <f t="shared" si="15"/>
        <v>150</v>
      </c>
      <c r="Q172" s="32"/>
      <c r="R172" s="49">
        <f t="shared" si="14"/>
        <v>150</v>
      </c>
      <c r="S172" s="4"/>
      <c r="T172" s="26">
        <v>150</v>
      </c>
      <c r="U172" s="68">
        <f>+T172-T171</f>
        <v>117.58620689655174</v>
      </c>
    </row>
    <row r="173" spans="8:22">
      <c r="I173" s="27" t="s">
        <v>54</v>
      </c>
      <c r="J173" s="30" t="s">
        <v>55</v>
      </c>
      <c r="K173" s="18"/>
      <c r="L173" s="21">
        <f>+K173*3</f>
        <v>0</v>
      </c>
      <c r="M173" s="20"/>
      <c r="N173" s="21">
        <f>+M173*3</f>
        <v>0</v>
      </c>
      <c r="O173" s="36"/>
      <c r="P173" s="31">
        <f t="shared" si="15"/>
        <v>0</v>
      </c>
      <c r="Q173" s="32"/>
      <c r="R173" s="29">
        <f t="shared" si="14"/>
        <v>0</v>
      </c>
      <c r="S173" s="4"/>
      <c r="T173" s="26"/>
    </row>
    <row r="174" spans="8:22">
      <c r="I174" s="27" t="s">
        <v>10</v>
      </c>
      <c r="J174" s="30" t="s">
        <v>34</v>
      </c>
      <c r="K174" s="35"/>
      <c r="L174" s="21"/>
      <c r="M174" s="36"/>
      <c r="N174" s="21"/>
      <c r="O174" s="36">
        <v>28</v>
      </c>
      <c r="P174" s="31">
        <f t="shared" si="15"/>
        <v>150</v>
      </c>
      <c r="Q174" s="32"/>
      <c r="R174" s="49">
        <f t="shared" si="14"/>
        <v>150</v>
      </c>
      <c r="S174" s="4"/>
      <c r="T174" s="26">
        <v>828</v>
      </c>
      <c r="U174">
        <v>107.64</v>
      </c>
      <c r="V174">
        <v>720.36</v>
      </c>
    </row>
    <row r="175" spans="8:22">
      <c r="I175" s="27" t="s">
        <v>9</v>
      </c>
      <c r="J175" s="30" t="s">
        <v>35</v>
      </c>
      <c r="K175" s="35"/>
      <c r="L175" s="21"/>
      <c r="M175" s="36"/>
      <c r="N175" s="21"/>
      <c r="O175" s="36">
        <v>38</v>
      </c>
      <c r="P175" s="31">
        <f t="shared" si="15"/>
        <v>150</v>
      </c>
      <c r="Q175" s="32"/>
      <c r="R175" s="49">
        <f t="shared" si="14"/>
        <v>150</v>
      </c>
      <c r="S175" s="4"/>
      <c r="T175" s="26">
        <f>+U175+V175</f>
        <v>827.58620689655174</v>
      </c>
      <c r="U175">
        <f>+U174*V175/V174</f>
        <v>107.58620689655173</v>
      </c>
      <c r="V175">
        <v>720</v>
      </c>
    </row>
    <row r="176" spans="8:22">
      <c r="I176" s="27" t="s">
        <v>36</v>
      </c>
      <c r="J176" s="30" t="s">
        <v>37</v>
      </c>
      <c r="K176" s="35"/>
      <c r="L176" s="21"/>
      <c r="M176" s="36"/>
      <c r="N176" s="21"/>
      <c r="O176" s="36">
        <v>30</v>
      </c>
      <c r="P176" s="31">
        <f t="shared" si="15"/>
        <v>150</v>
      </c>
      <c r="Q176" s="32"/>
      <c r="R176" s="49">
        <f t="shared" si="14"/>
        <v>150</v>
      </c>
      <c r="S176" s="4"/>
      <c r="T176" s="63">
        <f>+T174-T175</f>
        <v>0.41379310344825626</v>
      </c>
    </row>
    <row r="177" spans="8:21">
      <c r="I177" s="27" t="s">
        <v>64</v>
      </c>
      <c r="J177" s="30" t="s">
        <v>65</v>
      </c>
      <c r="K177" s="35"/>
      <c r="L177" s="21"/>
      <c r="M177" s="36"/>
      <c r="N177" s="21"/>
      <c r="O177" s="36">
        <v>33</v>
      </c>
      <c r="P177" s="31">
        <f t="shared" si="15"/>
        <v>150</v>
      </c>
      <c r="Q177" s="32"/>
      <c r="R177" s="49">
        <f t="shared" si="14"/>
        <v>150</v>
      </c>
      <c r="S177" s="4"/>
      <c r="T177" s="26">
        <v>150</v>
      </c>
      <c r="U177" s="68">
        <f>+T177-T176</f>
        <v>149.58620689655174</v>
      </c>
    </row>
    <row r="178" spans="8:21">
      <c r="I178" s="27" t="s">
        <v>13</v>
      </c>
      <c r="J178" s="30" t="s">
        <v>38</v>
      </c>
      <c r="K178" s="35"/>
      <c r="L178" s="21"/>
      <c r="M178" s="36"/>
      <c r="N178" s="21"/>
      <c r="O178" s="36">
        <v>39</v>
      </c>
      <c r="P178" s="31">
        <f t="shared" si="15"/>
        <v>150</v>
      </c>
      <c r="Q178" s="32"/>
      <c r="R178" s="49">
        <f t="shared" si="14"/>
        <v>150</v>
      </c>
      <c r="S178" s="4"/>
      <c r="T178" s="26"/>
    </row>
    <row r="179" spans="8:21">
      <c r="I179" s="27" t="s">
        <v>39</v>
      </c>
      <c r="J179" s="30" t="s">
        <v>40</v>
      </c>
      <c r="K179" s="35"/>
      <c r="L179" s="21"/>
      <c r="M179" s="36"/>
      <c r="N179" s="21"/>
      <c r="O179" s="36"/>
      <c r="P179" s="31">
        <f t="shared" si="15"/>
        <v>0</v>
      </c>
      <c r="Q179" s="32"/>
      <c r="R179" s="29">
        <f t="shared" si="14"/>
        <v>0</v>
      </c>
      <c r="S179" s="4"/>
      <c r="T179" s="78"/>
    </row>
    <row r="180" spans="8:21">
      <c r="H180" s="82" t="s">
        <v>84</v>
      </c>
      <c r="I180" s="83" t="s">
        <v>19</v>
      </c>
      <c r="J180" s="84" t="s">
        <v>20</v>
      </c>
      <c r="K180" s="85"/>
      <c r="L180" s="86">
        <f>+K180*3</f>
        <v>0</v>
      </c>
      <c r="M180" s="87"/>
      <c r="N180" s="86">
        <v>0</v>
      </c>
      <c r="O180" s="88"/>
      <c r="P180" s="89">
        <f t="shared" si="15"/>
        <v>0</v>
      </c>
      <c r="Q180" s="90"/>
      <c r="R180" s="92">
        <f t="shared" si="14"/>
        <v>0</v>
      </c>
      <c r="S180" s="4"/>
      <c r="T180" s="26"/>
    </row>
    <row r="181" spans="8:21">
      <c r="I181" s="27" t="s">
        <v>41</v>
      </c>
      <c r="J181" s="30" t="s">
        <v>42</v>
      </c>
      <c r="K181" s="35"/>
      <c r="L181" s="21"/>
      <c r="M181" s="36"/>
      <c r="N181" s="21"/>
      <c r="O181" s="36">
        <v>35</v>
      </c>
      <c r="P181" s="31">
        <f t="shared" si="15"/>
        <v>150</v>
      </c>
      <c r="Q181" s="32"/>
      <c r="R181" s="49">
        <f t="shared" si="14"/>
        <v>150</v>
      </c>
      <c r="S181" s="4"/>
      <c r="T181" s="26"/>
    </row>
    <row r="182" spans="8:21">
      <c r="I182" s="27" t="s">
        <v>26</v>
      </c>
      <c r="J182" s="30" t="s">
        <v>48</v>
      </c>
      <c r="K182" s="18"/>
      <c r="L182" s="21">
        <v>0</v>
      </c>
      <c r="M182" s="20">
        <v>20</v>
      </c>
      <c r="N182" s="21">
        <f>+M182*3</f>
        <v>60</v>
      </c>
      <c r="O182" s="36"/>
      <c r="P182" s="31">
        <f t="shared" si="15"/>
        <v>0</v>
      </c>
      <c r="Q182" s="32"/>
      <c r="R182" s="49">
        <f t="shared" si="14"/>
        <v>60</v>
      </c>
      <c r="S182" s="4"/>
      <c r="T182" s="26"/>
    </row>
    <row r="183" spans="8:21">
      <c r="I183" s="27" t="s">
        <v>67</v>
      </c>
      <c r="J183" s="28" t="s">
        <v>68</v>
      </c>
      <c r="K183" s="18"/>
      <c r="L183" s="21">
        <v>0</v>
      </c>
      <c r="M183" s="20"/>
      <c r="N183" s="21">
        <f>+M183*3</f>
        <v>0</v>
      </c>
      <c r="O183" s="22"/>
      <c r="P183" s="31">
        <f t="shared" si="15"/>
        <v>0</v>
      </c>
      <c r="Q183" s="24"/>
      <c r="R183" s="29">
        <f t="shared" si="14"/>
        <v>0</v>
      </c>
      <c r="S183" s="4"/>
      <c r="T183" s="26"/>
    </row>
    <row r="184" spans="8:21">
      <c r="I184" s="27" t="s">
        <v>21</v>
      </c>
      <c r="J184" s="28" t="s">
        <v>22</v>
      </c>
      <c r="K184" s="18"/>
      <c r="L184" s="21">
        <v>0</v>
      </c>
      <c r="M184" s="20"/>
      <c r="N184" s="21">
        <f>+M184*3</f>
        <v>0</v>
      </c>
      <c r="O184" s="36">
        <v>38</v>
      </c>
      <c r="P184" s="31">
        <f t="shared" si="15"/>
        <v>150</v>
      </c>
      <c r="Q184" s="24"/>
      <c r="R184" s="29">
        <f t="shared" si="14"/>
        <v>150</v>
      </c>
      <c r="S184" s="4"/>
      <c r="T184" s="26"/>
    </row>
    <row r="185" spans="8:21">
      <c r="I185" s="27" t="s">
        <v>43</v>
      </c>
      <c r="J185" s="28" t="s">
        <v>73</v>
      </c>
      <c r="K185" s="18"/>
      <c r="L185" s="21">
        <v>0</v>
      </c>
      <c r="M185" s="20"/>
      <c r="N185" s="21">
        <f>+M185*3</f>
        <v>0</v>
      </c>
      <c r="O185" s="36">
        <v>40</v>
      </c>
      <c r="P185" s="31">
        <f t="shared" si="15"/>
        <v>150</v>
      </c>
      <c r="Q185" s="24"/>
      <c r="R185" s="49">
        <f t="shared" si="14"/>
        <v>150</v>
      </c>
      <c r="S185" s="4"/>
      <c r="T185" s="26"/>
    </row>
    <row r="186" spans="8:21">
      <c r="I186" s="27" t="s">
        <v>44</v>
      </c>
      <c r="J186" s="30" t="s">
        <v>45</v>
      </c>
      <c r="K186" s="27"/>
      <c r="L186" s="21">
        <f>+K186*3</f>
        <v>0</v>
      </c>
      <c r="M186" s="36"/>
      <c r="N186" s="21"/>
      <c r="O186" s="36">
        <v>19</v>
      </c>
      <c r="P186" s="31">
        <f t="shared" si="15"/>
        <v>114</v>
      </c>
      <c r="Q186" s="32"/>
      <c r="R186" s="49">
        <f t="shared" si="14"/>
        <v>114</v>
      </c>
      <c r="S186" s="10"/>
      <c r="T186" s="26"/>
    </row>
    <row r="187" spans="8:21">
      <c r="I187" s="27" t="s">
        <v>14</v>
      </c>
      <c r="J187" s="30" t="s">
        <v>66</v>
      </c>
      <c r="K187" s="18"/>
      <c r="L187" s="21">
        <f>+K187*3</f>
        <v>0</v>
      </c>
      <c r="M187" s="20">
        <v>15</v>
      </c>
      <c r="N187" s="21">
        <f>+M187*3</f>
        <v>45</v>
      </c>
      <c r="O187" s="36"/>
      <c r="P187" s="31">
        <f t="shared" si="15"/>
        <v>0</v>
      </c>
      <c r="Q187" s="32"/>
      <c r="R187" s="49">
        <f t="shared" si="14"/>
        <v>45</v>
      </c>
      <c r="S187" s="4"/>
      <c r="T187" s="26"/>
    </row>
    <row r="188" spans="8:21">
      <c r="I188" s="27" t="s">
        <v>15</v>
      </c>
      <c r="J188" s="28" t="s">
        <v>16</v>
      </c>
      <c r="K188" s="18"/>
      <c r="L188" s="21">
        <f>+K188*3</f>
        <v>0</v>
      </c>
      <c r="M188" s="20">
        <v>28</v>
      </c>
      <c r="N188" s="21">
        <f>+M188*3</f>
        <v>84</v>
      </c>
      <c r="O188" s="36"/>
      <c r="P188" s="23">
        <f t="shared" si="15"/>
        <v>0</v>
      </c>
      <c r="Q188" s="24"/>
      <c r="R188" s="49">
        <f t="shared" si="14"/>
        <v>84</v>
      </c>
      <c r="S188" s="4"/>
      <c r="T188" s="26"/>
    </row>
    <row r="189" spans="8:21">
      <c r="I189" s="27" t="s">
        <v>17</v>
      </c>
      <c r="J189" s="30" t="s">
        <v>46</v>
      </c>
      <c r="K189" s="35"/>
      <c r="L189" s="21"/>
      <c r="M189" s="36"/>
      <c r="N189" s="21">
        <f>+M189*3</f>
        <v>0</v>
      </c>
      <c r="O189" s="36"/>
      <c r="P189" s="31">
        <f t="shared" si="15"/>
        <v>0</v>
      </c>
      <c r="Q189" s="32"/>
      <c r="R189" s="29">
        <f t="shared" si="14"/>
        <v>0</v>
      </c>
      <c r="S189" s="10"/>
      <c r="T189" s="26"/>
    </row>
    <row r="190" spans="8:21">
      <c r="I190" s="27" t="s">
        <v>75</v>
      </c>
      <c r="J190" s="30" t="s">
        <v>76</v>
      </c>
      <c r="K190" s="35"/>
      <c r="L190" s="21"/>
      <c r="M190" s="36"/>
      <c r="N190" s="21"/>
      <c r="O190" s="36">
        <v>21</v>
      </c>
      <c r="P190" s="31">
        <f t="shared" si="15"/>
        <v>126</v>
      </c>
      <c r="Q190" s="32"/>
      <c r="R190" s="49">
        <f t="shared" si="14"/>
        <v>126</v>
      </c>
      <c r="S190" s="10"/>
      <c r="T190" s="26"/>
    </row>
    <row r="191" spans="8:21">
      <c r="I191" s="27" t="s">
        <v>69</v>
      </c>
      <c r="J191" s="30" t="s">
        <v>70</v>
      </c>
      <c r="K191" s="35"/>
      <c r="L191" s="21">
        <v>0</v>
      </c>
      <c r="M191" s="36"/>
      <c r="N191" s="21">
        <f>+M191*3</f>
        <v>0</v>
      </c>
      <c r="O191" s="36"/>
      <c r="P191" s="31">
        <f t="shared" si="15"/>
        <v>0</v>
      </c>
      <c r="Q191" s="32"/>
      <c r="R191" s="29">
        <f t="shared" si="14"/>
        <v>0</v>
      </c>
      <c r="S191" s="10"/>
      <c r="T191" s="26"/>
    </row>
    <row r="192" spans="8:21">
      <c r="I192" s="27" t="s">
        <v>91</v>
      </c>
      <c r="J192" s="30" t="s">
        <v>92</v>
      </c>
      <c r="K192" s="35"/>
      <c r="L192" s="21">
        <v>0</v>
      </c>
      <c r="M192" s="36"/>
      <c r="N192" s="21">
        <v>0</v>
      </c>
      <c r="O192" s="36">
        <v>15</v>
      </c>
      <c r="P192" s="31">
        <f t="shared" si="15"/>
        <v>90</v>
      </c>
      <c r="Q192" s="32"/>
      <c r="R192" s="49">
        <f t="shared" si="14"/>
        <v>90</v>
      </c>
      <c r="S192" s="10"/>
      <c r="T192" s="26"/>
    </row>
    <row r="193" spans="9:22">
      <c r="I193" s="38" t="s">
        <v>93</v>
      </c>
      <c r="J193" s="50" t="s">
        <v>94</v>
      </c>
      <c r="K193" s="51"/>
      <c r="L193" s="52">
        <v>0</v>
      </c>
      <c r="M193" s="53">
        <v>11</v>
      </c>
      <c r="N193" s="52">
        <v>0</v>
      </c>
      <c r="O193" s="79"/>
      <c r="P193" s="54">
        <f t="shared" si="15"/>
        <v>0</v>
      </c>
      <c r="Q193" s="55"/>
      <c r="R193" s="39">
        <f t="shared" si="14"/>
        <v>0</v>
      </c>
      <c r="S193" s="4"/>
      <c r="T193" s="26"/>
    </row>
    <row r="194" spans="9:22">
      <c r="I194" s="41"/>
      <c r="J194" s="42"/>
      <c r="K194" s="65">
        <f t="shared" ref="K194:Q194" si="16">SUM(K160:K193)</f>
        <v>0</v>
      </c>
      <c r="L194" s="66">
        <f t="shared" si="16"/>
        <v>0</v>
      </c>
      <c r="M194" s="56">
        <f t="shared" si="16"/>
        <v>273</v>
      </c>
      <c r="N194" s="58">
        <f t="shared" si="16"/>
        <v>687</v>
      </c>
      <c r="O194" s="56">
        <f t="shared" si="16"/>
        <v>410</v>
      </c>
      <c r="P194" s="58">
        <f t="shared" si="16"/>
        <v>1896</v>
      </c>
      <c r="Q194" s="58">
        <f t="shared" si="16"/>
        <v>60</v>
      </c>
      <c r="R194" s="57">
        <f t="shared" si="14"/>
        <v>2643</v>
      </c>
      <c r="S194" s="40"/>
      <c r="T194" s="26"/>
    </row>
    <row r="196" spans="9:22">
      <c r="N196" s="67"/>
      <c r="R196" s="6">
        <f>+R194-R184-R171</f>
        <v>2424</v>
      </c>
    </row>
    <row r="199" spans="9:22">
      <c r="I199" s="418" t="s">
        <v>100</v>
      </c>
      <c r="J199" s="418"/>
      <c r="K199" s="418"/>
      <c r="L199" s="418"/>
      <c r="M199" s="418"/>
      <c r="N199" s="418"/>
      <c r="O199" s="418"/>
      <c r="P199" s="418"/>
      <c r="Q199" s="418"/>
      <c r="R199" s="418"/>
      <c r="T199" s="43"/>
    </row>
    <row r="200" spans="9:22">
      <c r="I200" s="11"/>
      <c r="J200" s="11"/>
      <c r="K200" s="428" t="s">
        <v>58</v>
      </c>
      <c r="L200" s="429"/>
      <c r="M200" s="429"/>
      <c r="N200" s="430"/>
      <c r="O200" s="428" t="s">
        <v>59</v>
      </c>
      <c r="P200" s="430"/>
      <c r="Q200" s="11"/>
      <c r="R200" s="11"/>
      <c r="T200" s="43"/>
    </row>
    <row r="201" spans="9:22" ht="40.5">
      <c r="I201" s="12" t="s">
        <v>11</v>
      </c>
      <c r="J201" s="12" t="s">
        <v>3</v>
      </c>
      <c r="K201" s="64" t="s">
        <v>23</v>
      </c>
      <c r="L201" s="64" t="s">
        <v>77</v>
      </c>
      <c r="M201" s="13" t="s">
        <v>23</v>
      </c>
      <c r="N201" s="13" t="s">
        <v>101</v>
      </c>
      <c r="O201" s="13" t="s">
        <v>23</v>
      </c>
      <c r="P201" s="13" t="s">
        <v>102</v>
      </c>
      <c r="Q201" s="13" t="s">
        <v>103</v>
      </c>
      <c r="R201" s="14" t="s">
        <v>60</v>
      </c>
      <c r="T201" s="43"/>
    </row>
    <row r="202" spans="9:22">
      <c r="I202" s="16" t="s">
        <v>61</v>
      </c>
      <c r="J202" s="17" t="s">
        <v>62</v>
      </c>
      <c r="K202" s="18"/>
      <c r="L202" s="19">
        <f>+K202*3</f>
        <v>0</v>
      </c>
      <c r="M202" s="20">
        <v>6</v>
      </c>
      <c r="N202" s="21">
        <v>0</v>
      </c>
      <c r="O202" s="22"/>
      <c r="P202" s="23"/>
      <c r="Q202" s="24"/>
      <c r="R202" s="93">
        <f>+L202+N202+P202+Q202</f>
        <v>0</v>
      </c>
      <c r="S202" s="4"/>
      <c r="T202" s="26"/>
    </row>
    <row r="203" spans="9:22">
      <c r="I203" s="27" t="s">
        <v>4</v>
      </c>
      <c r="J203" s="28" t="s">
        <v>12</v>
      </c>
      <c r="K203" s="18"/>
      <c r="L203" s="21">
        <f>+K203*3</f>
        <v>0</v>
      </c>
      <c r="M203" s="20"/>
      <c r="N203" s="21">
        <v>0</v>
      </c>
      <c r="O203" s="22"/>
      <c r="P203" s="23"/>
      <c r="Q203" s="24"/>
      <c r="R203" s="94">
        <f t="shared" ref="R203:R236" si="17">+L203+N203+P203+Q203</f>
        <v>0</v>
      </c>
      <c r="S203" s="4"/>
    </row>
    <row r="204" spans="9:22">
      <c r="I204" s="27" t="s">
        <v>1</v>
      </c>
      <c r="J204" s="30" t="s">
        <v>56</v>
      </c>
      <c r="K204" s="18"/>
      <c r="L204" s="21">
        <f>+K204*3</f>
        <v>0</v>
      </c>
      <c r="M204" s="20">
        <v>8</v>
      </c>
      <c r="N204" s="21">
        <v>0</v>
      </c>
      <c r="O204" s="36"/>
      <c r="P204" s="31">
        <f>IF(O204&gt;25,150,(O204)*6)</f>
        <v>0</v>
      </c>
      <c r="Q204" s="32">
        <v>10</v>
      </c>
      <c r="R204" s="95">
        <f t="shared" si="17"/>
        <v>10</v>
      </c>
      <c r="S204" s="4"/>
      <c r="T204" s="26"/>
      <c r="U204" s="426">
        <v>43144</v>
      </c>
      <c r="V204" s="427"/>
    </row>
    <row r="205" spans="9:22">
      <c r="I205" s="96" t="s">
        <v>2</v>
      </c>
      <c r="J205" s="97" t="s">
        <v>47</v>
      </c>
      <c r="K205" s="98"/>
      <c r="L205" s="99"/>
      <c r="M205" s="100"/>
      <c r="N205" s="99"/>
      <c r="O205" s="100">
        <f>24+8</f>
        <v>32</v>
      </c>
      <c r="P205" s="101">
        <f>IF(O205&gt;25,150,(O205)*6)</f>
        <v>150</v>
      </c>
      <c r="Q205" s="102"/>
      <c r="R205" s="103">
        <f t="shared" si="17"/>
        <v>150</v>
      </c>
      <c r="S205" s="4"/>
      <c r="T205" s="26"/>
    </row>
    <row r="206" spans="9:22">
      <c r="I206" s="27" t="s">
        <v>0</v>
      </c>
      <c r="J206" s="28" t="s">
        <v>7</v>
      </c>
      <c r="K206" s="18"/>
      <c r="L206" s="21">
        <f>+K206*5</f>
        <v>0</v>
      </c>
      <c r="M206" s="20">
        <v>8</v>
      </c>
      <c r="N206" s="21">
        <v>0</v>
      </c>
      <c r="O206" s="22"/>
      <c r="P206" s="23"/>
      <c r="Q206" s="24">
        <v>10</v>
      </c>
      <c r="R206" s="94">
        <f t="shared" si="17"/>
        <v>10</v>
      </c>
      <c r="S206" s="4"/>
      <c r="T206" s="26"/>
    </row>
    <row r="207" spans="9:22">
      <c r="I207" s="27" t="s">
        <v>5</v>
      </c>
      <c r="J207" s="30" t="s">
        <v>71</v>
      </c>
      <c r="K207" s="18"/>
      <c r="L207" s="21">
        <f>+K207*3</f>
        <v>0</v>
      </c>
      <c r="M207" s="36">
        <v>8</v>
      </c>
      <c r="N207" s="21">
        <v>0</v>
      </c>
      <c r="O207" s="36"/>
      <c r="P207" s="31">
        <f t="shared" ref="P207:P235" si="18">IF(O207&gt;25,150,(O207)*6)</f>
        <v>0</v>
      </c>
      <c r="Q207" s="32"/>
      <c r="R207" s="95">
        <f t="shared" si="17"/>
        <v>0</v>
      </c>
      <c r="S207" s="4"/>
      <c r="T207" s="26"/>
    </row>
    <row r="208" spans="9:22">
      <c r="I208" s="27" t="s">
        <v>27</v>
      </c>
      <c r="J208" s="30" t="s">
        <v>28</v>
      </c>
      <c r="K208" s="18"/>
      <c r="L208" s="21">
        <v>0</v>
      </c>
      <c r="M208" s="36">
        <v>8</v>
      </c>
      <c r="N208" s="21">
        <v>0</v>
      </c>
      <c r="O208" s="36"/>
      <c r="P208" s="31">
        <f t="shared" si="18"/>
        <v>0</v>
      </c>
      <c r="Q208" s="32">
        <v>10</v>
      </c>
      <c r="R208" s="95">
        <f t="shared" si="17"/>
        <v>10</v>
      </c>
      <c r="S208" s="4"/>
      <c r="T208" s="26"/>
    </row>
    <row r="209" spans="8:22">
      <c r="I209" s="27" t="s">
        <v>8</v>
      </c>
      <c r="J209" s="30" t="s">
        <v>29</v>
      </c>
      <c r="K209" s="35"/>
      <c r="L209" s="21"/>
      <c r="M209" s="36">
        <v>8</v>
      </c>
      <c r="N209" s="21">
        <v>0</v>
      </c>
      <c r="O209" s="36"/>
      <c r="P209" s="31">
        <f t="shared" si="18"/>
        <v>0</v>
      </c>
      <c r="Q209" s="32">
        <v>10</v>
      </c>
      <c r="R209" s="95">
        <f t="shared" si="17"/>
        <v>10</v>
      </c>
      <c r="S209" s="4"/>
      <c r="T209" s="26"/>
    </row>
    <row r="210" spans="8:22">
      <c r="I210" s="27" t="s">
        <v>25</v>
      </c>
      <c r="J210" s="30" t="s">
        <v>33</v>
      </c>
      <c r="K210" s="35"/>
      <c r="L210" s="21"/>
      <c r="M210" s="36"/>
      <c r="N210" s="21">
        <v>0</v>
      </c>
      <c r="O210" s="36">
        <v>25</v>
      </c>
      <c r="P210" s="31">
        <f t="shared" si="18"/>
        <v>150</v>
      </c>
      <c r="Q210" s="32"/>
      <c r="R210" s="95">
        <f t="shared" si="17"/>
        <v>150</v>
      </c>
      <c r="S210" s="4"/>
      <c r="T210" s="26"/>
    </row>
    <row r="211" spans="8:22">
      <c r="I211" s="27" t="s">
        <v>24</v>
      </c>
      <c r="J211" s="30" t="s">
        <v>30</v>
      </c>
      <c r="K211" s="18"/>
      <c r="L211" s="21">
        <v>0</v>
      </c>
      <c r="M211" s="20">
        <v>6</v>
      </c>
      <c r="N211" s="21">
        <v>0</v>
      </c>
      <c r="O211" s="36"/>
      <c r="P211" s="31">
        <f t="shared" si="18"/>
        <v>0</v>
      </c>
      <c r="Q211" s="32"/>
      <c r="R211" s="94">
        <f t="shared" si="17"/>
        <v>0</v>
      </c>
      <c r="S211" s="4" t="s">
        <v>104</v>
      </c>
      <c r="T211" s="26">
        <v>860</v>
      </c>
      <c r="U211">
        <v>111.8</v>
      </c>
      <c r="V211">
        <v>748.2</v>
      </c>
    </row>
    <row r="212" spans="8:22">
      <c r="I212" s="27" t="s">
        <v>18</v>
      </c>
      <c r="J212" s="28" t="s">
        <v>72</v>
      </c>
      <c r="K212" s="18"/>
      <c r="L212" s="21">
        <f>+K212*3</f>
        <v>0</v>
      </c>
      <c r="M212" s="20">
        <v>7</v>
      </c>
      <c r="N212" s="21">
        <v>0</v>
      </c>
      <c r="O212" s="36"/>
      <c r="P212" s="31">
        <f t="shared" si="18"/>
        <v>0</v>
      </c>
      <c r="Q212" s="24">
        <v>10</v>
      </c>
      <c r="R212" s="95">
        <f t="shared" si="17"/>
        <v>10</v>
      </c>
      <c r="S212" s="4"/>
      <c r="T212" s="26">
        <f>+U212+V212</f>
        <v>827.58620689655174</v>
      </c>
      <c r="U212">
        <f>+U211*V212/V211</f>
        <v>107.58620689655172</v>
      </c>
      <c r="V212">
        <v>720</v>
      </c>
    </row>
    <row r="213" spans="8:22">
      <c r="H213" s="82" t="s">
        <v>84</v>
      </c>
      <c r="I213" s="83" t="s">
        <v>6</v>
      </c>
      <c r="J213" s="84" t="s">
        <v>99</v>
      </c>
      <c r="K213" s="85"/>
      <c r="L213" s="86">
        <f>+K213*3</f>
        <v>0</v>
      </c>
      <c r="M213" s="87"/>
      <c r="N213" s="86">
        <f>+M213*3</f>
        <v>0</v>
      </c>
      <c r="O213" s="88">
        <v>34</v>
      </c>
      <c r="P213" s="89">
        <f t="shared" si="18"/>
        <v>150</v>
      </c>
      <c r="Q213" s="90"/>
      <c r="R213" s="91">
        <f t="shared" si="17"/>
        <v>150</v>
      </c>
      <c r="S213" s="4"/>
      <c r="T213" s="63">
        <f>+T211-T212</f>
        <v>32.413793103448256</v>
      </c>
    </row>
    <row r="214" spans="8:22">
      <c r="I214" s="27" t="s">
        <v>31</v>
      </c>
      <c r="J214" s="30" t="s">
        <v>32</v>
      </c>
      <c r="K214" s="35"/>
      <c r="L214" s="21"/>
      <c r="M214" s="36"/>
      <c r="N214" s="21"/>
      <c r="O214" s="36">
        <v>29</v>
      </c>
      <c r="P214" s="31">
        <f t="shared" si="18"/>
        <v>150</v>
      </c>
      <c r="Q214" s="32"/>
      <c r="R214" s="95">
        <f t="shared" si="17"/>
        <v>150</v>
      </c>
      <c r="S214" s="4"/>
      <c r="T214" s="26">
        <v>150</v>
      </c>
      <c r="U214" s="68">
        <f>+T214-T213</f>
        <v>117.58620689655174</v>
      </c>
    </row>
    <row r="215" spans="8:22">
      <c r="I215" s="27" t="s">
        <v>54</v>
      </c>
      <c r="J215" s="30" t="s">
        <v>55</v>
      </c>
      <c r="K215" s="18"/>
      <c r="L215" s="21">
        <f>+K215*3</f>
        <v>0</v>
      </c>
      <c r="M215" s="20"/>
      <c r="N215" s="21">
        <f>+M215*3</f>
        <v>0</v>
      </c>
      <c r="O215" s="36"/>
      <c r="P215" s="31">
        <f t="shared" si="18"/>
        <v>0</v>
      </c>
      <c r="Q215" s="32"/>
      <c r="R215" s="94">
        <f t="shared" si="17"/>
        <v>0</v>
      </c>
      <c r="S215" s="4"/>
      <c r="T215" s="26"/>
    </row>
    <row r="216" spans="8:22">
      <c r="I216" s="96" t="s">
        <v>10</v>
      </c>
      <c r="J216" s="97" t="s">
        <v>34</v>
      </c>
      <c r="K216" s="98"/>
      <c r="L216" s="99"/>
      <c r="M216" s="100"/>
      <c r="N216" s="99"/>
      <c r="O216" s="100">
        <f>18+6</f>
        <v>24</v>
      </c>
      <c r="P216" s="101">
        <f t="shared" si="18"/>
        <v>144</v>
      </c>
      <c r="Q216" s="102"/>
      <c r="R216" s="103">
        <f t="shared" si="17"/>
        <v>144</v>
      </c>
      <c r="S216" s="4"/>
      <c r="T216" s="26">
        <v>828</v>
      </c>
      <c r="U216">
        <v>107.64</v>
      </c>
      <c r="V216">
        <v>720.36</v>
      </c>
    </row>
    <row r="217" spans="8:22">
      <c r="I217" s="27" t="s">
        <v>9</v>
      </c>
      <c r="J217" s="30" t="s">
        <v>35</v>
      </c>
      <c r="K217" s="35"/>
      <c r="L217" s="21"/>
      <c r="M217" s="36"/>
      <c r="N217" s="21"/>
      <c r="O217" s="36">
        <v>33</v>
      </c>
      <c r="P217" s="31">
        <f t="shared" si="18"/>
        <v>150</v>
      </c>
      <c r="Q217" s="32"/>
      <c r="R217" s="95">
        <f t="shared" si="17"/>
        <v>150</v>
      </c>
      <c r="S217" s="4"/>
      <c r="T217" s="26">
        <f>+U217+V217</f>
        <v>827.58620689655174</v>
      </c>
      <c r="U217">
        <f>+U216*V217/V216</f>
        <v>107.58620689655173</v>
      </c>
      <c r="V217">
        <v>720</v>
      </c>
    </row>
    <row r="218" spans="8:22">
      <c r="I218" s="27" t="s">
        <v>36</v>
      </c>
      <c r="J218" s="30" t="s">
        <v>37</v>
      </c>
      <c r="K218" s="35"/>
      <c r="L218" s="21"/>
      <c r="M218" s="36"/>
      <c r="N218" s="21"/>
      <c r="O218" s="36"/>
      <c r="P218" s="31">
        <f t="shared" si="18"/>
        <v>0</v>
      </c>
      <c r="Q218" s="32"/>
      <c r="R218" s="95">
        <f t="shared" si="17"/>
        <v>0</v>
      </c>
      <c r="S218" s="4"/>
      <c r="T218" s="63">
        <f>+T216-T217</f>
        <v>0.41379310344825626</v>
      </c>
    </row>
    <row r="219" spans="8:22">
      <c r="I219" s="27" t="s">
        <v>64</v>
      </c>
      <c r="J219" s="30" t="s">
        <v>65</v>
      </c>
      <c r="K219" s="35"/>
      <c r="L219" s="21"/>
      <c r="M219" s="36"/>
      <c r="N219" s="21"/>
      <c r="O219" s="36">
        <v>33</v>
      </c>
      <c r="P219" s="31">
        <f t="shared" si="18"/>
        <v>150</v>
      </c>
      <c r="Q219" s="32"/>
      <c r="R219" s="95">
        <f t="shared" si="17"/>
        <v>150</v>
      </c>
      <c r="S219" s="4"/>
      <c r="T219" s="26">
        <v>150</v>
      </c>
      <c r="U219" s="68">
        <f>+T219-T218</f>
        <v>149.58620689655174</v>
      </c>
    </row>
    <row r="220" spans="8:22">
      <c r="I220" s="27" t="s">
        <v>13</v>
      </c>
      <c r="J220" s="30" t="s">
        <v>38</v>
      </c>
      <c r="K220" s="35"/>
      <c r="L220" s="21"/>
      <c r="M220" s="36"/>
      <c r="N220" s="21"/>
      <c r="O220" s="36">
        <v>28</v>
      </c>
      <c r="P220" s="31">
        <f t="shared" si="18"/>
        <v>150</v>
      </c>
      <c r="Q220" s="32"/>
      <c r="R220" s="95">
        <f t="shared" si="17"/>
        <v>150</v>
      </c>
      <c r="S220" s="4"/>
      <c r="T220" s="26"/>
    </row>
    <row r="221" spans="8:22">
      <c r="I221" s="27" t="s">
        <v>39</v>
      </c>
      <c r="J221" s="30" t="s">
        <v>40</v>
      </c>
      <c r="K221" s="35"/>
      <c r="L221" s="21"/>
      <c r="M221" s="36"/>
      <c r="N221" s="21"/>
      <c r="O221" s="36"/>
      <c r="P221" s="31">
        <f t="shared" si="18"/>
        <v>0</v>
      </c>
      <c r="Q221" s="32"/>
      <c r="R221" s="94">
        <f t="shared" si="17"/>
        <v>0</v>
      </c>
      <c r="S221" s="4"/>
      <c r="T221" s="78"/>
    </row>
    <row r="222" spans="8:22">
      <c r="H222" s="82" t="s">
        <v>84</v>
      </c>
      <c r="I222" s="83" t="s">
        <v>19</v>
      </c>
      <c r="J222" s="84" t="s">
        <v>20</v>
      </c>
      <c r="K222" s="85"/>
      <c r="L222" s="86">
        <f>+K222*3</f>
        <v>0</v>
      </c>
      <c r="M222" s="87"/>
      <c r="N222" s="86">
        <v>0</v>
      </c>
      <c r="O222" s="88"/>
      <c r="P222" s="89">
        <f t="shared" si="18"/>
        <v>0</v>
      </c>
      <c r="Q222" s="90"/>
      <c r="R222" s="104">
        <f t="shared" si="17"/>
        <v>0</v>
      </c>
      <c r="S222" s="4"/>
      <c r="T222" s="26"/>
      <c r="V222">
        <f>+U225</f>
        <v>24</v>
      </c>
    </row>
    <row r="223" spans="8:22">
      <c r="I223" s="27" t="s">
        <v>41</v>
      </c>
      <c r="J223" s="30" t="s">
        <v>42</v>
      </c>
      <c r="K223" s="35"/>
      <c r="L223" s="21"/>
      <c r="M223" s="36"/>
      <c r="N223" s="21"/>
      <c r="O223" s="36">
        <v>26</v>
      </c>
      <c r="P223" s="31">
        <f t="shared" si="18"/>
        <v>150</v>
      </c>
      <c r="Q223" s="32"/>
      <c r="R223" s="95">
        <f t="shared" si="17"/>
        <v>150</v>
      </c>
      <c r="S223" s="4"/>
      <c r="T223" s="26"/>
      <c r="U223">
        <v>16</v>
      </c>
      <c r="V223">
        <v>6</v>
      </c>
    </row>
    <row r="224" spans="8:22">
      <c r="I224" s="27" t="s">
        <v>26</v>
      </c>
      <c r="J224" s="30" t="s">
        <v>48</v>
      </c>
      <c r="K224" s="18"/>
      <c r="L224" s="21">
        <v>0</v>
      </c>
      <c r="M224" s="20">
        <v>8</v>
      </c>
      <c r="N224" s="21">
        <v>0</v>
      </c>
      <c r="O224" s="36"/>
      <c r="P224" s="31">
        <f t="shared" si="18"/>
        <v>0</v>
      </c>
      <c r="Q224" s="32">
        <v>10</v>
      </c>
      <c r="R224" s="95">
        <f t="shared" si="17"/>
        <v>10</v>
      </c>
      <c r="S224" s="4"/>
      <c r="T224" s="26"/>
      <c r="U224">
        <v>8</v>
      </c>
      <c r="V224">
        <f>+V222*V223</f>
        <v>144</v>
      </c>
    </row>
    <row r="225" spans="9:21">
      <c r="I225" s="27" t="s">
        <v>67</v>
      </c>
      <c r="J225" s="28" t="s">
        <v>68</v>
      </c>
      <c r="K225" s="18"/>
      <c r="L225" s="21">
        <v>0</v>
      </c>
      <c r="M225" s="20"/>
      <c r="N225" s="21">
        <f>+M225*3</f>
        <v>0</v>
      </c>
      <c r="O225" s="22"/>
      <c r="P225" s="31">
        <f t="shared" si="18"/>
        <v>0</v>
      </c>
      <c r="Q225" s="24"/>
      <c r="R225" s="94">
        <f t="shared" si="17"/>
        <v>0</v>
      </c>
      <c r="S225" s="4"/>
      <c r="T225" s="26"/>
      <c r="U225">
        <f>+U224+U223+U222</f>
        <v>24</v>
      </c>
    </row>
    <row r="226" spans="9:21">
      <c r="I226" s="27" t="s">
        <v>21</v>
      </c>
      <c r="J226" s="28" t="s">
        <v>22</v>
      </c>
      <c r="K226" s="18"/>
      <c r="L226" s="21">
        <v>0</v>
      </c>
      <c r="M226" s="20"/>
      <c r="N226" s="21">
        <f>+M226*3</f>
        <v>0</v>
      </c>
      <c r="O226" s="36">
        <v>34</v>
      </c>
      <c r="P226" s="31">
        <f t="shared" si="18"/>
        <v>150</v>
      </c>
      <c r="Q226" s="24"/>
      <c r="R226" s="29">
        <f t="shared" si="17"/>
        <v>150</v>
      </c>
      <c r="S226" s="4" t="s">
        <v>104</v>
      </c>
      <c r="T226" s="26"/>
    </row>
    <row r="227" spans="9:21">
      <c r="I227" s="27" t="s">
        <v>43</v>
      </c>
      <c r="J227" s="28" t="s">
        <v>73</v>
      </c>
      <c r="K227" s="18"/>
      <c r="L227" s="21">
        <v>0</v>
      </c>
      <c r="M227" s="20"/>
      <c r="N227" s="21">
        <f>+M227*3</f>
        <v>0</v>
      </c>
      <c r="O227" s="36">
        <v>32</v>
      </c>
      <c r="P227" s="31">
        <f t="shared" si="18"/>
        <v>150</v>
      </c>
      <c r="Q227" s="24"/>
      <c r="R227" s="95">
        <f t="shared" si="17"/>
        <v>150</v>
      </c>
      <c r="S227" s="4"/>
      <c r="T227" s="26"/>
    </row>
    <row r="228" spans="9:21">
      <c r="I228" s="27" t="s">
        <v>44</v>
      </c>
      <c r="J228" s="30" t="s">
        <v>45</v>
      </c>
      <c r="K228" s="27"/>
      <c r="L228" s="21">
        <f>+K228*3</f>
        <v>0</v>
      </c>
      <c r="M228" s="36">
        <v>5</v>
      </c>
      <c r="N228" s="21">
        <v>0</v>
      </c>
      <c r="O228" s="36"/>
      <c r="P228" s="31">
        <f t="shared" si="18"/>
        <v>0</v>
      </c>
      <c r="Q228" s="32"/>
      <c r="R228" s="95">
        <f t="shared" si="17"/>
        <v>0</v>
      </c>
      <c r="S228" s="10"/>
      <c r="T228" s="26"/>
    </row>
    <row r="229" spans="9:21">
      <c r="I229" s="96" t="s">
        <v>14</v>
      </c>
      <c r="J229" s="97" t="s">
        <v>66</v>
      </c>
      <c r="K229" s="105"/>
      <c r="L229" s="99">
        <f>+K229*3</f>
        <v>0</v>
      </c>
      <c r="M229" s="106">
        <v>9</v>
      </c>
      <c r="N229" s="99">
        <v>0</v>
      </c>
      <c r="O229" s="100">
        <f>3+3</f>
        <v>6</v>
      </c>
      <c r="P229" s="101">
        <f t="shared" si="18"/>
        <v>36</v>
      </c>
      <c r="Q229" s="102">
        <v>10</v>
      </c>
      <c r="R229" s="103">
        <f t="shared" si="17"/>
        <v>46</v>
      </c>
      <c r="S229" s="4"/>
      <c r="T229" s="26"/>
    </row>
    <row r="230" spans="9:21">
      <c r="I230" s="27" t="s">
        <v>15</v>
      </c>
      <c r="J230" s="28" t="s">
        <v>16</v>
      </c>
      <c r="K230" s="18"/>
      <c r="L230" s="21">
        <f>+K230*3</f>
        <v>0</v>
      </c>
      <c r="M230" s="20">
        <v>8</v>
      </c>
      <c r="N230" s="21">
        <v>0</v>
      </c>
      <c r="O230" s="36"/>
      <c r="P230" s="23">
        <f t="shared" si="18"/>
        <v>0</v>
      </c>
      <c r="Q230" s="24">
        <v>10</v>
      </c>
      <c r="R230" s="95">
        <f t="shared" si="17"/>
        <v>10</v>
      </c>
      <c r="S230" s="4"/>
      <c r="T230" s="26"/>
    </row>
    <row r="231" spans="9:21">
      <c r="I231" s="27" t="s">
        <v>17</v>
      </c>
      <c r="J231" s="30" t="s">
        <v>46</v>
      </c>
      <c r="K231" s="35"/>
      <c r="L231" s="21"/>
      <c r="M231" s="36"/>
      <c r="N231" s="21">
        <f>+M231*3</f>
        <v>0</v>
      </c>
      <c r="O231" s="36"/>
      <c r="P231" s="31">
        <f t="shared" si="18"/>
        <v>0</v>
      </c>
      <c r="Q231" s="32"/>
      <c r="R231" s="94">
        <f t="shared" si="17"/>
        <v>0</v>
      </c>
      <c r="S231" s="10"/>
      <c r="T231" s="26"/>
    </row>
    <row r="232" spans="9:21">
      <c r="I232" s="96" t="s">
        <v>75</v>
      </c>
      <c r="J232" s="97" t="s">
        <v>76</v>
      </c>
      <c r="K232" s="98"/>
      <c r="L232" s="99"/>
      <c r="M232" s="100"/>
      <c r="N232" s="99"/>
      <c r="O232" s="100">
        <f>22+7</f>
        <v>29</v>
      </c>
      <c r="P232" s="101">
        <f t="shared" si="18"/>
        <v>150</v>
      </c>
      <c r="Q232" s="102"/>
      <c r="R232" s="103">
        <f t="shared" si="17"/>
        <v>150</v>
      </c>
      <c r="S232" s="10"/>
      <c r="T232" s="26"/>
    </row>
    <row r="233" spans="9:21">
      <c r="I233" s="96" t="s">
        <v>69</v>
      </c>
      <c r="J233" s="107" t="s">
        <v>70</v>
      </c>
      <c r="K233" s="98"/>
      <c r="L233" s="99">
        <v>0</v>
      </c>
      <c r="M233" s="100"/>
      <c r="N233" s="99">
        <f>+M233*3</f>
        <v>0</v>
      </c>
      <c r="O233" s="100">
        <f>21+7</f>
        <v>28</v>
      </c>
      <c r="P233" s="101">
        <f t="shared" si="18"/>
        <v>150</v>
      </c>
      <c r="Q233" s="108"/>
      <c r="R233" s="103">
        <f t="shared" si="17"/>
        <v>150</v>
      </c>
      <c r="S233" s="10"/>
      <c r="T233" s="26"/>
    </row>
    <row r="234" spans="9:21">
      <c r="I234" s="27" t="s">
        <v>91</v>
      </c>
      <c r="J234" s="30" t="s">
        <v>92</v>
      </c>
      <c r="K234" s="35"/>
      <c r="L234" s="21">
        <v>0</v>
      </c>
      <c r="M234" s="36"/>
      <c r="N234" s="21">
        <v>0</v>
      </c>
      <c r="O234" s="36">
        <v>27</v>
      </c>
      <c r="P234" s="31">
        <f t="shared" si="18"/>
        <v>150</v>
      </c>
      <c r="Q234" s="32"/>
      <c r="R234" s="95">
        <f t="shared" si="17"/>
        <v>150</v>
      </c>
      <c r="S234" s="10"/>
      <c r="T234" s="26"/>
    </row>
    <row r="235" spans="9:21">
      <c r="I235" s="38" t="s">
        <v>93</v>
      </c>
      <c r="J235" s="50" t="s">
        <v>94</v>
      </c>
      <c r="K235" s="51"/>
      <c r="L235" s="52">
        <v>0</v>
      </c>
      <c r="M235" s="53">
        <v>7</v>
      </c>
      <c r="N235" s="52">
        <v>0</v>
      </c>
      <c r="O235" s="79"/>
      <c r="P235" s="54">
        <f t="shared" si="18"/>
        <v>0</v>
      </c>
      <c r="Q235" s="55">
        <v>10</v>
      </c>
      <c r="R235" s="109">
        <f t="shared" si="17"/>
        <v>10</v>
      </c>
      <c r="S235" s="4"/>
      <c r="T235" s="26"/>
    </row>
    <row r="236" spans="9:21">
      <c r="I236" s="41"/>
      <c r="J236" s="42"/>
      <c r="K236" s="65">
        <f t="shared" ref="K236:Q236" si="19">SUM(K202:K235)</f>
        <v>0</v>
      </c>
      <c r="L236" s="66">
        <f t="shared" si="19"/>
        <v>0</v>
      </c>
      <c r="M236" s="56">
        <f t="shared" si="19"/>
        <v>96</v>
      </c>
      <c r="N236" s="58">
        <f t="shared" si="19"/>
        <v>0</v>
      </c>
      <c r="O236" s="56">
        <f t="shared" si="19"/>
        <v>420</v>
      </c>
      <c r="P236" s="58">
        <f t="shared" si="19"/>
        <v>2130</v>
      </c>
      <c r="Q236" s="58">
        <f t="shared" si="19"/>
        <v>90</v>
      </c>
      <c r="R236" s="57">
        <f t="shared" si="17"/>
        <v>2220</v>
      </c>
      <c r="S236" s="40"/>
      <c r="T236" s="26"/>
    </row>
    <row r="237" spans="9:21">
      <c r="N237" s="110" t="s">
        <v>105</v>
      </c>
      <c r="O237" s="1">
        <v>62</v>
      </c>
    </row>
    <row r="238" spans="9:21">
      <c r="N238" s="111" t="s">
        <v>106</v>
      </c>
      <c r="O238" s="112">
        <f>+O237+O236</f>
        <v>482</v>
      </c>
      <c r="R238" s="6">
        <f>+R236-R226-R211-R213</f>
        <v>1920</v>
      </c>
    </row>
    <row r="240" spans="9:21">
      <c r="I240" s="418" t="s">
        <v>107</v>
      </c>
      <c r="J240" s="418"/>
      <c r="K240" s="418"/>
      <c r="L240" s="418"/>
      <c r="M240" s="418"/>
      <c r="N240" s="418"/>
      <c r="O240" s="418"/>
      <c r="P240" s="418"/>
      <c r="Q240" s="418"/>
      <c r="R240" s="418"/>
      <c r="T240" s="43"/>
    </row>
    <row r="241" spans="8:22">
      <c r="I241" s="11"/>
      <c r="J241" s="11"/>
      <c r="K241" s="428" t="s">
        <v>58</v>
      </c>
      <c r="L241" s="429"/>
      <c r="M241" s="429"/>
      <c r="N241" s="430"/>
      <c r="O241" s="428" t="s">
        <v>59</v>
      </c>
      <c r="P241" s="430"/>
      <c r="Q241" s="11"/>
      <c r="R241" s="11"/>
      <c r="T241" s="43"/>
    </row>
    <row r="242" spans="8:22" ht="40.5">
      <c r="I242" s="12" t="s">
        <v>11</v>
      </c>
      <c r="J242" s="12" t="s">
        <v>3</v>
      </c>
      <c r="K242" s="64" t="s">
        <v>23</v>
      </c>
      <c r="L242" s="64" t="s">
        <v>77</v>
      </c>
      <c r="M242" s="64" t="s">
        <v>23</v>
      </c>
      <c r="N242" s="64" t="s">
        <v>77</v>
      </c>
      <c r="O242" s="13" t="s">
        <v>23</v>
      </c>
      <c r="P242" s="13" t="s">
        <v>108</v>
      </c>
      <c r="Q242" s="13" t="s">
        <v>109</v>
      </c>
      <c r="R242" s="14" t="s">
        <v>60</v>
      </c>
      <c r="T242" s="43"/>
    </row>
    <row r="243" spans="8:22">
      <c r="I243" s="16" t="s">
        <v>61</v>
      </c>
      <c r="J243" s="17" t="s">
        <v>62</v>
      </c>
      <c r="K243" s="18"/>
      <c r="L243" s="19">
        <f>+K243*3</f>
        <v>0</v>
      </c>
      <c r="M243" s="20"/>
      <c r="N243" s="21">
        <v>0</v>
      </c>
      <c r="O243" s="22"/>
      <c r="P243" s="23"/>
      <c r="Q243" s="24"/>
      <c r="R243" s="93">
        <f>+L243+N243+P243+Q243</f>
        <v>0</v>
      </c>
      <c r="S243" s="4"/>
      <c r="T243" s="26"/>
    </row>
    <row r="244" spans="8:22">
      <c r="I244" s="27" t="s">
        <v>4</v>
      </c>
      <c r="J244" s="28" t="s">
        <v>12</v>
      </c>
      <c r="K244" s="18"/>
      <c r="L244" s="21">
        <f>+K244*3</f>
        <v>0</v>
      </c>
      <c r="M244" s="20"/>
      <c r="N244" s="21">
        <v>0</v>
      </c>
      <c r="O244" s="22"/>
      <c r="P244" s="23"/>
      <c r="Q244" s="24"/>
      <c r="R244" s="94">
        <f t="shared" ref="R244:R277" si="20">+L244+N244+P244+Q244</f>
        <v>0</v>
      </c>
      <c r="S244" s="4"/>
    </row>
    <row r="245" spans="8:22">
      <c r="I245" s="27" t="s">
        <v>1</v>
      </c>
      <c r="J245" s="30" t="s">
        <v>56</v>
      </c>
      <c r="K245" s="18"/>
      <c r="L245" s="21">
        <f>+K245*3</f>
        <v>0</v>
      </c>
      <c r="M245" s="20"/>
      <c r="N245" s="21">
        <v>0</v>
      </c>
      <c r="O245" s="36">
        <v>23</v>
      </c>
      <c r="P245" s="31">
        <f>IF(O245&gt;25,150,(O245)*6)</f>
        <v>138</v>
      </c>
      <c r="Q245" s="32"/>
      <c r="R245" s="95">
        <f t="shared" si="20"/>
        <v>138</v>
      </c>
      <c r="S245" s="4"/>
      <c r="T245" s="26"/>
      <c r="U245" s="426">
        <v>43152</v>
      </c>
      <c r="V245" s="427"/>
    </row>
    <row r="246" spans="8:22">
      <c r="I246" s="113" t="s">
        <v>2</v>
      </c>
      <c r="J246" s="114" t="s">
        <v>47</v>
      </c>
      <c r="K246" s="115"/>
      <c r="L246" s="116"/>
      <c r="M246" s="117"/>
      <c r="N246" s="116"/>
      <c r="O246" s="117">
        <v>39</v>
      </c>
      <c r="P246" s="31">
        <f>IF(O246&gt;25,150,(O246)*6)</f>
        <v>150</v>
      </c>
      <c r="Q246" s="32"/>
      <c r="R246" s="118">
        <f t="shared" si="20"/>
        <v>150</v>
      </c>
      <c r="S246" s="4"/>
      <c r="T246" s="26"/>
    </row>
    <row r="247" spans="8:22">
      <c r="I247" s="27" t="s">
        <v>0</v>
      </c>
      <c r="J247" s="28" t="s">
        <v>7</v>
      </c>
      <c r="K247" s="18"/>
      <c r="L247" s="21">
        <f>+K247*5</f>
        <v>0</v>
      </c>
      <c r="M247" s="20"/>
      <c r="N247" s="21">
        <v>0</v>
      </c>
      <c r="O247" s="22"/>
      <c r="P247" s="23"/>
      <c r="Q247" s="24"/>
      <c r="R247" s="94">
        <v>1.0000000000000001E-37</v>
      </c>
      <c r="S247" s="4"/>
      <c r="T247" s="26"/>
    </row>
    <row r="248" spans="8:22">
      <c r="I248" s="27" t="s">
        <v>5</v>
      </c>
      <c r="J248" s="30" t="s">
        <v>71</v>
      </c>
      <c r="K248" s="18"/>
      <c r="L248" s="21">
        <f>+K248*3</f>
        <v>0</v>
      </c>
      <c r="M248" s="36"/>
      <c r="N248" s="21">
        <v>0</v>
      </c>
      <c r="O248" s="36">
        <v>30</v>
      </c>
      <c r="P248" s="31">
        <f t="shared" ref="P248:P276" si="21">IF(O248&gt;25,150,(O248)*6)</f>
        <v>150</v>
      </c>
      <c r="Q248" s="32"/>
      <c r="R248" s="95">
        <f t="shared" si="20"/>
        <v>150</v>
      </c>
      <c r="S248" s="4"/>
      <c r="T248" s="26"/>
    </row>
    <row r="249" spans="8:22">
      <c r="I249" s="27" t="s">
        <v>27</v>
      </c>
      <c r="J249" s="30" t="s">
        <v>28</v>
      </c>
      <c r="K249" s="18"/>
      <c r="L249" s="21">
        <v>0</v>
      </c>
      <c r="M249" s="36"/>
      <c r="N249" s="21">
        <v>0</v>
      </c>
      <c r="O249" s="36"/>
      <c r="P249" s="31">
        <f t="shared" si="21"/>
        <v>0</v>
      </c>
      <c r="Q249" s="32"/>
      <c r="R249" s="94">
        <f t="shared" si="20"/>
        <v>0</v>
      </c>
      <c r="S249" s="4"/>
      <c r="T249" s="26"/>
    </row>
    <row r="250" spans="8:22">
      <c r="I250" s="27" t="s">
        <v>8</v>
      </c>
      <c r="J250" s="30" t="s">
        <v>29</v>
      </c>
      <c r="K250" s="35"/>
      <c r="L250" s="21"/>
      <c r="M250" s="36"/>
      <c r="N250" s="21">
        <v>0</v>
      </c>
      <c r="O250" s="36">
        <v>29</v>
      </c>
      <c r="P250" s="31">
        <f t="shared" si="21"/>
        <v>150</v>
      </c>
      <c r="Q250" s="32"/>
      <c r="R250" s="95">
        <f t="shared" si="20"/>
        <v>150</v>
      </c>
      <c r="S250" s="4"/>
      <c r="T250" s="26"/>
    </row>
    <row r="251" spans="8:22">
      <c r="I251" s="27" t="s">
        <v>25</v>
      </c>
      <c r="J251" s="30" t="s">
        <v>33</v>
      </c>
      <c r="K251" s="35"/>
      <c r="L251" s="21"/>
      <c r="M251" s="36"/>
      <c r="N251" s="21">
        <v>0</v>
      </c>
      <c r="O251" s="36">
        <v>33</v>
      </c>
      <c r="P251" s="31">
        <f t="shared" si="21"/>
        <v>150</v>
      </c>
      <c r="Q251" s="32"/>
      <c r="R251" s="95">
        <f t="shared" si="20"/>
        <v>150</v>
      </c>
      <c r="S251" s="4"/>
      <c r="T251" s="26"/>
    </row>
    <row r="252" spans="8:22">
      <c r="I252" s="33" t="s">
        <v>24</v>
      </c>
      <c r="J252" s="34" t="s">
        <v>30</v>
      </c>
      <c r="K252" s="45"/>
      <c r="L252" s="46">
        <v>0</v>
      </c>
      <c r="M252" s="47"/>
      <c r="N252" s="46">
        <v>0</v>
      </c>
      <c r="O252" s="60">
        <v>23</v>
      </c>
      <c r="P252" s="61">
        <f t="shared" si="21"/>
        <v>138</v>
      </c>
      <c r="Q252" s="62"/>
      <c r="R252" s="49">
        <f t="shared" si="20"/>
        <v>138</v>
      </c>
      <c r="S252" s="119" t="s">
        <v>110</v>
      </c>
      <c r="T252" s="26">
        <v>860</v>
      </c>
      <c r="U252">
        <v>111.8</v>
      </c>
      <c r="V252">
        <v>748.2</v>
      </c>
    </row>
    <row r="253" spans="8:22">
      <c r="I253" s="27" t="s">
        <v>18</v>
      </c>
      <c r="J253" s="28" t="s">
        <v>72</v>
      </c>
      <c r="K253" s="18"/>
      <c r="L253" s="21">
        <f>+K253*3</f>
        <v>0</v>
      </c>
      <c r="M253" s="20"/>
      <c r="N253" s="21">
        <v>0</v>
      </c>
      <c r="O253" s="36"/>
      <c r="P253" s="31">
        <f t="shared" si="21"/>
        <v>0</v>
      </c>
      <c r="Q253" s="24"/>
      <c r="R253" s="94">
        <f t="shared" si="20"/>
        <v>0</v>
      </c>
      <c r="S253" s="4"/>
      <c r="T253" s="26">
        <f>+U253+V253</f>
        <v>827.58620689655174</v>
      </c>
      <c r="U253">
        <f>+U252*V253/V252</f>
        <v>107.58620689655172</v>
      </c>
      <c r="V253">
        <v>720</v>
      </c>
    </row>
    <row r="254" spans="8:22">
      <c r="H254" s="82" t="s">
        <v>84</v>
      </c>
      <c r="I254" s="83" t="s">
        <v>6</v>
      </c>
      <c r="J254" s="84" t="s">
        <v>99</v>
      </c>
      <c r="K254" s="85"/>
      <c r="L254" s="86">
        <f>+K254*3</f>
        <v>0</v>
      </c>
      <c r="M254" s="87"/>
      <c r="N254" s="86">
        <f>+M254*3</f>
        <v>0</v>
      </c>
      <c r="O254" s="88">
        <v>14</v>
      </c>
      <c r="P254" s="89">
        <f t="shared" si="21"/>
        <v>84</v>
      </c>
      <c r="Q254" s="90"/>
      <c r="R254" s="91">
        <f t="shared" si="20"/>
        <v>84</v>
      </c>
      <c r="S254" s="4"/>
      <c r="T254" s="63">
        <f>+T252-T253</f>
        <v>32.413793103448256</v>
      </c>
    </row>
    <row r="255" spans="8:22">
      <c r="I255" s="27" t="s">
        <v>31</v>
      </c>
      <c r="J255" s="30" t="s">
        <v>32</v>
      </c>
      <c r="K255" s="35"/>
      <c r="L255" s="21"/>
      <c r="M255" s="36"/>
      <c r="N255" s="21"/>
      <c r="O255" s="36"/>
      <c r="P255" s="31">
        <f t="shared" si="21"/>
        <v>0</v>
      </c>
      <c r="Q255" s="32"/>
      <c r="R255" s="94">
        <f t="shared" si="20"/>
        <v>0</v>
      </c>
      <c r="S255" s="4"/>
      <c r="T255" s="26">
        <v>150</v>
      </c>
      <c r="U255" s="68">
        <f>+T255-T254</f>
        <v>117.58620689655174</v>
      </c>
    </row>
    <row r="256" spans="8:22">
      <c r="I256" s="27" t="s">
        <v>54</v>
      </c>
      <c r="J256" s="30" t="s">
        <v>55</v>
      </c>
      <c r="K256" s="18"/>
      <c r="L256" s="21">
        <f>+K256*3</f>
        <v>0</v>
      </c>
      <c r="M256" s="20"/>
      <c r="N256" s="21">
        <f>+M256*3</f>
        <v>0</v>
      </c>
      <c r="O256" s="36"/>
      <c r="P256" s="31">
        <f t="shared" si="21"/>
        <v>0</v>
      </c>
      <c r="Q256" s="32"/>
      <c r="R256" s="94">
        <f t="shared" si="20"/>
        <v>0</v>
      </c>
      <c r="S256" s="4"/>
      <c r="T256" s="26"/>
    </row>
    <row r="257" spans="8:22">
      <c r="I257" s="113" t="s">
        <v>10</v>
      </c>
      <c r="J257" s="114" t="s">
        <v>34</v>
      </c>
      <c r="K257" s="115"/>
      <c r="L257" s="116"/>
      <c r="M257" s="117"/>
      <c r="N257" s="116"/>
      <c r="O257" s="117">
        <v>27</v>
      </c>
      <c r="P257" s="31">
        <f t="shared" si="21"/>
        <v>150</v>
      </c>
      <c r="Q257" s="32"/>
      <c r="R257" s="118">
        <f t="shared" si="20"/>
        <v>150</v>
      </c>
      <c r="S257" s="4"/>
      <c r="T257" s="26">
        <v>828</v>
      </c>
      <c r="U257">
        <v>107.64</v>
      </c>
      <c r="V257">
        <v>720.36</v>
      </c>
    </row>
    <row r="258" spans="8:22">
      <c r="I258" s="27" t="s">
        <v>9</v>
      </c>
      <c r="J258" s="30" t="s">
        <v>35</v>
      </c>
      <c r="K258" s="35"/>
      <c r="L258" s="21"/>
      <c r="M258" s="36"/>
      <c r="N258" s="21"/>
      <c r="O258" s="36">
        <v>37</v>
      </c>
      <c r="P258" s="31">
        <f t="shared" si="21"/>
        <v>150</v>
      </c>
      <c r="Q258" s="32"/>
      <c r="R258" s="95">
        <f t="shared" si="20"/>
        <v>150</v>
      </c>
      <c r="S258" s="4"/>
      <c r="T258" s="26">
        <f>+U258+V258</f>
        <v>827.58620689655174</v>
      </c>
      <c r="U258">
        <f>+U257*V258/V257</f>
        <v>107.58620689655173</v>
      </c>
      <c r="V258">
        <v>720</v>
      </c>
    </row>
    <row r="259" spans="8:22">
      <c r="I259" s="27" t="s">
        <v>36</v>
      </c>
      <c r="J259" s="30" t="s">
        <v>37</v>
      </c>
      <c r="K259" s="35"/>
      <c r="L259" s="21"/>
      <c r="M259" s="36"/>
      <c r="N259" s="21"/>
      <c r="O259" s="36"/>
      <c r="P259" s="31">
        <f t="shared" si="21"/>
        <v>0</v>
      </c>
      <c r="Q259" s="32"/>
      <c r="R259" s="94">
        <f t="shared" si="20"/>
        <v>0</v>
      </c>
      <c r="S259" s="4"/>
      <c r="T259" s="63">
        <f>+T257-T258</f>
        <v>0.41379310344825626</v>
      </c>
    </row>
    <row r="260" spans="8:22">
      <c r="I260" s="27" t="s">
        <v>64</v>
      </c>
      <c r="J260" s="30" t="s">
        <v>65</v>
      </c>
      <c r="K260" s="35"/>
      <c r="L260" s="21"/>
      <c r="M260" s="36"/>
      <c r="N260" s="21"/>
      <c r="O260" s="36">
        <v>26</v>
      </c>
      <c r="P260" s="31">
        <f t="shared" si="21"/>
        <v>150</v>
      </c>
      <c r="Q260" s="32"/>
      <c r="R260" s="95">
        <f t="shared" si="20"/>
        <v>150</v>
      </c>
      <c r="S260" s="4"/>
      <c r="T260" s="26">
        <v>150</v>
      </c>
      <c r="U260" s="68">
        <f>+T260-T259</f>
        <v>149.58620689655174</v>
      </c>
    </row>
    <row r="261" spans="8:22">
      <c r="I261" s="27" t="s">
        <v>13</v>
      </c>
      <c r="J261" s="30" t="s">
        <v>38</v>
      </c>
      <c r="K261" s="35"/>
      <c r="L261" s="21"/>
      <c r="M261" s="36"/>
      <c r="N261" s="21"/>
      <c r="O261" s="36"/>
      <c r="P261" s="31">
        <f t="shared" si="21"/>
        <v>0</v>
      </c>
      <c r="Q261" s="32"/>
      <c r="R261" s="94">
        <f t="shared" si="20"/>
        <v>0</v>
      </c>
      <c r="S261" s="4"/>
      <c r="T261" s="26"/>
    </row>
    <row r="262" spans="8:22">
      <c r="I262" s="27" t="s">
        <v>39</v>
      </c>
      <c r="J262" s="30" t="s">
        <v>40</v>
      </c>
      <c r="K262" s="35"/>
      <c r="L262" s="21"/>
      <c r="M262" s="36"/>
      <c r="N262" s="21"/>
      <c r="O262" s="36"/>
      <c r="P262" s="31">
        <f t="shared" si="21"/>
        <v>0</v>
      </c>
      <c r="Q262" s="32"/>
      <c r="R262" s="94">
        <f t="shared" si="20"/>
        <v>0</v>
      </c>
      <c r="S262" s="4"/>
      <c r="T262" s="78"/>
    </row>
    <row r="263" spans="8:22">
      <c r="H263" s="82" t="s">
        <v>84</v>
      </c>
      <c r="I263" s="83" t="s">
        <v>19</v>
      </c>
      <c r="J263" s="84" t="s">
        <v>20</v>
      </c>
      <c r="K263" s="85"/>
      <c r="L263" s="86">
        <f>+K263*3</f>
        <v>0</v>
      </c>
      <c r="M263" s="87"/>
      <c r="N263" s="86">
        <v>0</v>
      </c>
      <c r="O263" s="88"/>
      <c r="P263" s="89">
        <f t="shared" si="21"/>
        <v>0</v>
      </c>
      <c r="Q263" s="90"/>
      <c r="R263" s="104">
        <f t="shared" si="20"/>
        <v>0</v>
      </c>
      <c r="S263" s="4"/>
      <c r="T263" s="26"/>
      <c r="V263">
        <f>+U266</f>
        <v>24</v>
      </c>
    </row>
    <row r="264" spans="8:22">
      <c r="I264" s="27" t="s">
        <v>41</v>
      </c>
      <c r="J264" s="30" t="s">
        <v>42</v>
      </c>
      <c r="K264" s="35"/>
      <c r="L264" s="21"/>
      <c r="M264" s="36"/>
      <c r="N264" s="21"/>
      <c r="O264" s="36"/>
      <c r="P264" s="31">
        <f t="shared" si="21"/>
        <v>0</v>
      </c>
      <c r="Q264" s="32"/>
      <c r="R264" s="94">
        <f t="shared" si="20"/>
        <v>0</v>
      </c>
      <c r="S264" s="4"/>
      <c r="T264" s="26"/>
      <c r="U264">
        <v>16</v>
      </c>
      <c r="V264">
        <v>6</v>
      </c>
    </row>
    <row r="265" spans="8:22">
      <c r="I265" s="27" t="s">
        <v>26</v>
      </c>
      <c r="J265" s="30" t="s">
        <v>48</v>
      </c>
      <c r="K265" s="18"/>
      <c r="L265" s="21">
        <v>0</v>
      </c>
      <c r="M265" s="20"/>
      <c r="N265" s="21">
        <v>0</v>
      </c>
      <c r="O265" s="36">
        <v>27</v>
      </c>
      <c r="P265" s="31">
        <f t="shared" si="21"/>
        <v>150</v>
      </c>
      <c r="Q265" s="32"/>
      <c r="R265" s="95">
        <f t="shared" si="20"/>
        <v>150</v>
      </c>
      <c r="S265" s="4"/>
      <c r="T265" s="26"/>
      <c r="U265">
        <v>8</v>
      </c>
      <c r="V265">
        <f>+V263*V264</f>
        <v>144</v>
      </c>
    </row>
    <row r="266" spans="8:22">
      <c r="I266" s="27" t="s">
        <v>67</v>
      </c>
      <c r="J266" s="28" t="s">
        <v>68</v>
      </c>
      <c r="K266" s="18"/>
      <c r="L266" s="21">
        <v>0</v>
      </c>
      <c r="M266" s="20"/>
      <c r="N266" s="21">
        <f>+M266*3</f>
        <v>0</v>
      </c>
      <c r="O266" s="22"/>
      <c r="P266" s="31">
        <f t="shared" si="21"/>
        <v>0</v>
      </c>
      <c r="Q266" s="24"/>
      <c r="R266" s="94">
        <f t="shared" si="20"/>
        <v>0</v>
      </c>
      <c r="S266" s="4"/>
      <c r="T266" s="26"/>
      <c r="U266">
        <f>+U265+U264+U263</f>
        <v>24</v>
      </c>
    </row>
    <row r="267" spans="8:22">
      <c r="I267" s="33" t="s">
        <v>21</v>
      </c>
      <c r="J267" s="37" t="s">
        <v>22</v>
      </c>
      <c r="K267" s="45"/>
      <c r="L267" s="46">
        <v>0</v>
      </c>
      <c r="M267" s="47"/>
      <c r="N267" s="46">
        <f>+M267*3</f>
        <v>0</v>
      </c>
      <c r="O267" s="60">
        <v>33</v>
      </c>
      <c r="P267" s="61">
        <f t="shared" si="21"/>
        <v>150</v>
      </c>
      <c r="Q267" s="48"/>
      <c r="R267" s="49">
        <f t="shared" si="20"/>
        <v>150</v>
      </c>
      <c r="S267" s="44" t="s">
        <v>110</v>
      </c>
      <c r="T267" s="26"/>
    </row>
    <row r="268" spans="8:22">
      <c r="I268" s="27" t="s">
        <v>43</v>
      </c>
      <c r="J268" s="28" t="s">
        <v>73</v>
      </c>
      <c r="K268" s="18"/>
      <c r="L268" s="21">
        <v>0</v>
      </c>
      <c r="M268" s="20"/>
      <c r="N268" s="21">
        <f>+M268*3</f>
        <v>0</v>
      </c>
      <c r="O268" s="36">
        <v>3</v>
      </c>
      <c r="P268" s="31">
        <f t="shared" si="21"/>
        <v>18</v>
      </c>
      <c r="Q268" s="24"/>
      <c r="R268" s="95">
        <f t="shared" si="20"/>
        <v>18</v>
      </c>
      <c r="S268" s="4"/>
      <c r="T268" s="26"/>
    </row>
    <row r="269" spans="8:22">
      <c r="I269" s="27" t="s">
        <v>44</v>
      </c>
      <c r="J269" s="30" t="s">
        <v>45</v>
      </c>
      <c r="K269" s="27"/>
      <c r="L269" s="21">
        <f>+K269*3</f>
        <v>0</v>
      </c>
      <c r="M269" s="36"/>
      <c r="N269" s="21">
        <v>0</v>
      </c>
      <c r="O269" s="36"/>
      <c r="P269" s="31">
        <f t="shared" si="21"/>
        <v>0</v>
      </c>
      <c r="Q269" s="32"/>
      <c r="R269" s="94">
        <f t="shared" si="20"/>
        <v>0</v>
      </c>
      <c r="S269" s="10"/>
      <c r="T269" s="26"/>
    </row>
    <row r="270" spans="8:22">
      <c r="I270" s="113" t="s">
        <v>14</v>
      </c>
      <c r="J270" s="114" t="s">
        <v>66</v>
      </c>
      <c r="K270" s="120"/>
      <c r="L270" s="116">
        <f>+K270*3</f>
        <v>0</v>
      </c>
      <c r="M270" s="121"/>
      <c r="N270" s="116">
        <v>0</v>
      </c>
      <c r="O270" s="117">
        <v>35</v>
      </c>
      <c r="P270" s="31">
        <f t="shared" si="21"/>
        <v>150</v>
      </c>
      <c r="Q270" s="32"/>
      <c r="R270" s="118">
        <f t="shared" si="20"/>
        <v>150</v>
      </c>
      <c r="S270" s="4"/>
      <c r="T270" s="26"/>
    </row>
    <row r="271" spans="8:22">
      <c r="I271" s="27" t="s">
        <v>15</v>
      </c>
      <c r="J271" s="28" t="s">
        <v>16</v>
      </c>
      <c r="K271" s="18"/>
      <c r="L271" s="21">
        <f>+K271*3</f>
        <v>0</v>
      </c>
      <c r="M271" s="20"/>
      <c r="N271" s="21">
        <v>0</v>
      </c>
      <c r="O271" s="36"/>
      <c r="P271" s="23">
        <f t="shared" si="21"/>
        <v>0</v>
      </c>
      <c r="Q271" s="24"/>
      <c r="R271" s="94">
        <f t="shared" si="20"/>
        <v>0</v>
      </c>
      <c r="S271" s="4"/>
      <c r="T271" s="26"/>
    </row>
    <row r="272" spans="8:22">
      <c r="I272" s="27" t="s">
        <v>17</v>
      </c>
      <c r="J272" s="30" t="s">
        <v>46</v>
      </c>
      <c r="K272" s="35"/>
      <c r="L272" s="21"/>
      <c r="M272" s="36"/>
      <c r="N272" s="21">
        <f>+M272*3</f>
        <v>0</v>
      </c>
      <c r="O272" s="36"/>
      <c r="P272" s="31">
        <f t="shared" si="21"/>
        <v>0</v>
      </c>
      <c r="Q272" s="32"/>
      <c r="R272" s="94">
        <f t="shared" si="20"/>
        <v>0</v>
      </c>
      <c r="S272" s="10"/>
      <c r="T272" s="26"/>
    </row>
    <row r="273" spans="9:22">
      <c r="I273" s="113" t="s">
        <v>75</v>
      </c>
      <c r="J273" s="114" t="s">
        <v>76</v>
      </c>
      <c r="K273" s="115"/>
      <c r="L273" s="116"/>
      <c r="M273" s="117"/>
      <c r="N273" s="116"/>
      <c r="O273" s="117"/>
      <c r="P273" s="31">
        <f t="shared" si="21"/>
        <v>0</v>
      </c>
      <c r="Q273" s="32"/>
      <c r="R273" s="122">
        <f t="shared" si="20"/>
        <v>0</v>
      </c>
      <c r="S273" s="10"/>
      <c r="T273" s="26"/>
    </row>
    <row r="274" spans="9:22">
      <c r="I274" s="113" t="s">
        <v>69</v>
      </c>
      <c r="J274" s="114" t="s">
        <v>70</v>
      </c>
      <c r="K274" s="115"/>
      <c r="L274" s="116">
        <v>0</v>
      </c>
      <c r="M274" s="117"/>
      <c r="N274" s="116">
        <f>+M274*3</f>
        <v>0</v>
      </c>
      <c r="O274" s="117">
        <v>30</v>
      </c>
      <c r="P274" s="31">
        <f t="shared" si="21"/>
        <v>150</v>
      </c>
      <c r="Q274" s="32"/>
      <c r="R274" s="118">
        <f t="shared" si="20"/>
        <v>150</v>
      </c>
      <c r="S274" s="10"/>
      <c r="T274" s="26"/>
    </row>
    <row r="275" spans="9:22">
      <c r="I275" s="27" t="s">
        <v>91</v>
      </c>
      <c r="J275" s="30" t="s">
        <v>92</v>
      </c>
      <c r="K275" s="35"/>
      <c r="L275" s="21">
        <v>0</v>
      </c>
      <c r="M275" s="36"/>
      <c r="N275" s="21">
        <v>0</v>
      </c>
      <c r="O275" s="36">
        <v>27</v>
      </c>
      <c r="P275" s="31">
        <f t="shared" si="21"/>
        <v>150</v>
      </c>
      <c r="Q275" s="32"/>
      <c r="R275" s="95">
        <f t="shared" si="20"/>
        <v>150</v>
      </c>
      <c r="S275" s="10"/>
      <c r="T275" s="26"/>
    </row>
    <row r="276" spans="9:22">
      <c r="I276" s="38" t="s">
        <v>93</v>
      </c>
      <c r="J276" s="50" t="s">
        <v>94</v>
      </c>
      <c r="K276" s="51"/>
      <c r="L276" s="52">
        <v>0</v>
      </c>
      <c r="M276" s="53"/>
      <c r="N276" s="52">
        <v>0</v>
      </c>
      <c r="O276" s="79"/>
      <c r="P276" s="54">
        <f t="shared" si="21"/>
        <v>0</v>
      </c>
      <c r="Q276" s="55"/>
      <c r="R276" s="109">
        <f t="shared" si="20"/>
        <v>0</v>
      </c>
      <c r="S276" s="4"/>
      <c r="T276" s="26"/>
    </row>
    <row r="277" spans="9:22">
      <c r="I277" s="41"/>
      <c r="J277" s="42"/>
      <c r="K277" s="65">
        <f t="shared" ref="K277:Q277" si="22">SUM(K243:K276)</f>
        <v>0</v>
      </c>
      <c r="L277" s="66">
        <f t="shared" si="22"/>
        <v>0</v>
      </c>
      <c r="M277" s="56">
        <f t="shared" si="22"/>
        <v>0</v>
      </c>
      <c r="N277" s="58">
        <f t="shared" si="22"/>
        <v>0</v>
      </c>
      <c r="O277" s="56">
        <f t="shared" si="22"/>
        <v>436</v>
      </c>
      <c r="P277" s="58">
        <f t="shared" si="22"/>
        <v>2178</v>
      </c>
      <c r="Q277" s="58">
        <f t="shared" si="22"/>
        <v>0</v>
      </c>
      <c r="R277" s="57">
        <f t="shared" si="20"/>
        <v>2178</v>
      </c>
      <c r="S277" s="40"/>
      <c r="T277" s="26"/>
    </row>
    <row r="278" spans="9:22">
      <c r="N278" s="110" t="s">
        <v>105</v>
      </c>
      <c r="O278" s="1">
        <v>62</v>
      </c>
    </row>
    <row r="279" spans="9:22">
      <c r="N279" s="111" t="s">
        <v>106</v>
      </c>
      <c r="O279" s="112">
        <f>+O278+O277</f>
        <v>498</v>
      </c>
      <c r="R279" s="6">
        <f>+R277-R267-R252-R254</f>
        <v>1806</v>
      </c>
    </row>
    <row r="280" spans="9:22">
      <c r="I280" s="418" t="s">
        <v>111</v>
      </c>
      <c r="J280" s="418"/>
      <c r="K280" s="418"/>
      <c r="L280" s="418"/>
      <c r="M280" s="418"/>
      <c r="N280" s="418"/>
      <c r="O280" s="418"/>
      <c r="P280" s="418"/>
      <c r="Q280" s="418"/>
      <c r="R280" s="418"/>
      <c r="T280" s="43"/>
    </row>
    <row r="281" spans="9:22">
      <c r="I281" s="11"/>
      <c r="J281" s="11"/>
      <c r="K281" s="428" t="s">
        <v>58</v>
      </c>
      <c r="L281" s="429"/>
      <c r="M281" s="429"/>
      <c r="N281" s="430"/>
      <c r="O281" s="428" t="s">
        <v>59</v>
      </c>
      <c r="P281" s="430"/>
      <c r="Q281" s="11"/>
      <c r="R281" s="11"/>
      <c r="T281" s="43"/>
    </row>
    <row r="282" spans="9:22" ht="40.5">
      <c r="I282" s="12" t="s">
        <v>11</v>
      </c>
      <c r="J282" s="12" t="s">
        <v>3</v>
      </c>
      <c r="K282" s="64" t="s">
        <v>23</v>
      </c>
      <c r="L282" s="64" t="s">
        <v>77</v>
      </c>
      <c r="M282" s="64" t="s">
        <v>23</v>
      </c>
      <c r="N282" s="64" t="s">
        <v>77</v>
      </c>
      <c r="O282" s="13" t="s">
        <v>23</v>
      </c>
      <c r="P282" s="13" t="s">
        <v>112</v>
      </c>
      <c r="Q282" s="13" t="s">
        <v>113</v>
      </c>
      <c r="R282" s="14" t="s">
        <v>60</v>
      </c>
      <c r="S282" s="7"/>
      <c r="T282" s="43"/>
    </row>
    <row r="283" spans="9:22">
      <c r="I283" s="16" t="s">
        <v>61</v>
      </c>
      <c r="J283" s="17" t="s">
        <v>62</v>
      </c>
      <c r="K283" s="18"/>
      <c r="L283" s="19">
        <f>+K283*3</f>
        <v>0</v>
      </c>
      <c r="M283" s="20"/>
      <c r="N283" s="21">
        <v>0</v>
      </c>
      <c r="O283" s="22"/>
      <c r="P283" s="23"/>
      <c r="Q283" s="24"/>
      <c r="R283" s="123">
        <f>+L283+N283+P283+Q283</f>
        <v>0</v>
      </c>
      <c r="S283" s="7"/>
      <c r="T283" s="26"/>
    </row>
    <row r="284" spans="9:22">
      <c r="I284" s="27" t="s">
        <v>4</v>
      </c>
      <c r="J284" s="28" t="s">
        <v>12</v>
      </c>
      <c r="K284" s="18"/>
      <c r="L284" s="21">
        <f>+K284*3</f>
        <v>0</v>
      </c>
      <c r="M284" s="20"/>
      <c r="N284" s="21">
        <v>0</v>
      </c>
      <c r="O284" s="22"/>
      <c r="P284" s="23"/>
      <c r="Q284" s="24"/>
      <c r="R284" s="124">
        <f>+L284+N284+P284+Q284</f>
        <v>0</v>
      </c>
      <c r="S284" s="7"/>
    </row>
    <row r="285" spans="9:22">
      <c r="I285" s="27" t="s">
        <v>1</v>
      </c>
      <c r="J285" s="30" t="s">
        <v>56</v>
      </c>
      <c r="K285" s="18"/>
      <c r="L285" s="21">
        <f>+K285*3</f>
        <v>0</v>
      </c>
      <c r="M285" s="20"/>
      <c r="N285" s="21">
        <v>0</v>
      </c>
      <c r="O285" s="36">
        <v>25</v>
      </c>
      <c r="P285" s="31">
        <f>IF(O285&gt;25,150,(O285)*6)</f>
        <v>150</v>
      </c>
      <c r="Q285" s="32"/>
      <c r="R285" s="125">
        <f>+L285+N285+P285+Q285</f>
        <v>150</v>
      </c>
      <c r="S285" s="7"/>
      <c r="T285" s="26"/>
      <c r="U285" s="426">
        <v>43159</v>
      </c>
      <c r="V285" s="427"/>
    </row>
    <row r="286" spans="9:22">
      <c r="I286" s="113" t="s">
        <v>2</v>
      </c>
      <c r="J286" s="114" t="s">
        <v>47</v>
      </c>
      <c r="K286" s="115"/>
      <c r="L286" s="116"/>
      <c r="M286" s="117"/>
      <c r="N286" s="116"/>
      <c r="O286" s="117">
        <v>23</v>
      </c>
      <c r="P286" s="31">
        <f>IF(O286&gt;25,150,(O286)*6)</f>
        <v>138</v>
      </c>
      <c r="Q286" s="32">
        <f>7*14</f>
        <v>98</v>
      </c>
      <c r="R286" s="126">
        <f>+L286+N286+P286+Q286</f>
        <v>236</v>
      </c>
      <c r="S286" s="7"/>
      <c r="T286" s="26"/>
    </row>
    <row r="287" spans="9:22">
      <c r="I287" s="27" t="s">
        <v>0</v>
      </c>
      <c r="J287" s="28" t="s">
        <v>7</v>
      </c>
      <c r="K287" s="18"/>
      <c r="L287" s="21">
        <f>+K287*5</f>
        <v>0</v>
      </c>
      <c r="M287" s="20"/>
      <c r="N287" s="21">
        <v>0</v>
      </c>
      <c r="O287" s="22"/>
      <c r="P287" s="23">
        <v>9.9999999999999996E-70</v>
      </c>
      <c r="Q287" s="24"/>
      <c r="R287" s="125">
        <f t="shared" ref="R287:R317" si="23">+L287+N287+P287+Q287</f>
        <v>9.9999999999999996E-70</v>
      </c>
      <c r="S287" s="7"/>
      <c r="T287" s="26"/>
    </row>
    <row r="288" spans="9:22">
      <c r="I288" s="27" t="s">
        <v>5</v>
      </c>
      <c r="J288" s="30" t="s">
        <v>71</v>
      </c>
      <c r="K288" s="18"/>
      <c r="L288" s="21">
        <f>+K288*3</f>
        <v>0</v>
      </c>
      <c r="M288" s="36"/>
      <c r="N288" s="21">
        <v>0</v>
      </c>
      <c r="O288" s="36">
        <v>22</v>
      </c>
      <c r="P288" s="31">
        <f t="shared" ref="P288:P316" si="24">IF(O288&gt;25,150,(O288)*6)</f>
        <v>132</v>
      </c>
      <c r="Q288" s="32"/>
      <c r="R288" s="125">
        <f t="shared" si="23"/>
        <v>132</v>
      </c>
      <c r="S288" s="7"/>
      <c r="T288" s="26"/>
    </row>
    <row r="289" spans="8:22">
      <c r="I289" s="27" t="s">
        <v>27</v>
      </c>
      <c r="J289" s="30" t="s">
        <v>28</v>
      </c>
      <c r="K289" s="18"/>
      <c r="L289" s="21">
        <v>0</v>
      </c>
      <c r="M289" s="36"/>
      <c r="N289" s="21">
        <v>0</v>
      </c>
      <c r="O289" s="36"/>
      <c r="P289" s="31">
        <f t="shared" si="24"/>
        <v>0</v>
      </c>
      <c r="Q289" s="32"/>
      <c r="R289" s="124">
        <f t="shared" si="23"/>
        <v>0</v>
      </c>
      <c r="S289" s="7"/>
      <c r="T289" s="26"/>
    </row>
    <row r="290" spans="8:22">
      <c r="I290" s="27" t="s">
        <v>8</v>
      </c>
      <c r="J290" s="30" t="s">
        <v>29</v>
      </c>
      <c r="K290" s="35"/>
      <c r="L290" s="21"/>
      <c r="M290" s="36"/>
      <c r="N290" s="21">
        <v>0</v>
      </c>
      <c r="O290" s="36">
        <v>32</v>
      </c>
      <c r="P290" s="31">
        <f t="shared" si="24"/>
        <v>150</v>
      </c>
      <c r="Q290" s="32"/>
      <c r="R290" s="125">
        <f t="shared" si="23"/>
        <v>150</v>
      </c>
      <c r="S290" s="7"/>
      <c r="T290" s="26"/>
    </row>
    <row r="291" spans="8:22">
      <c r="I291" s="27" t="s">
        <v>25</v>
      </c>
      <c r="J291" s="30" t="s">
        <v>33</v>
      </c>
      <c r="K291" s="35"/>
      <c r="L291" s="21"/>
      <c r="M291" s="36"/>
      <c r="N291" s="21">
        <v>0</v>
      </c>
      <c r="O291" s="36">
        <v>26</v>
      </c>
      <c r="P291" s="31">
        <f t="shared" si="24"/>
        <v>150</v>
      </c>
      <c r="Q291" s="32"/>
      <c r="R291" s="125">
        <f t="shared" si="23"/>
        <v>150</v>
      </c>
      <c r="S291" s="7"/>
      <c r="T291" s="26"/>
    </row>
    <row r="292" spans="8:22">
      <c r="I292" s="33" t="s">
        <v>24</v>
      </c>
      <c r="J292" s="34" t="s">
        <v>30</v>
      </c>
      <c r="K292" s="45"/>
      <c r="L292" s="46">
        <v>0</v>
      </c>
      <c r="M292" s="47"/>
      <c r="N292" s="46">
        <v>0</v>
      </c>
      <c r="O292" s="60">
        <v>20</v>
      </c>
      <c r="P292" s="61">
        <f t="shared" si="24"/>
        <v>120</v>
      </c>
      <c r="Q292" s="62"/>
      <c r="R292" s="125">
        <f t="shared" si="23"/>
        <v>120</v>
      </c>
      <c r="S292" s="127" t="s">
        <v>114</v>
      </c>
      <c r="T292" s="26">
        <v>860</v>
      </c>
      <c r="U292">
        <v>111.8</v>
      </c>
      <c r="V292">
        <v>748.2</v>
      </c>
    </row>
    <row r="293" spans="8:22">
      <c r="I293" s="27" t="s">
        <v>18</v>
      </c>
      <c r="J293" s="28" t="s">
        <v>72</v>
      </c>
      <c r="K293" s="18"/>
      <c r="L293" s="21">
        <f>+K293*3</f>
        <v>0</v>
      </c>
      <c r="M293" s="20"/>
      <c r="N293" s="21">
        <v>0</v>
      </c>
      <c r="O293" s="36">
        <v>22</v>
      </c>
      <c r="P293" s="31">
        <f t="shared" si="24"/>
        <v>132</v>
      </c>
      <c r="Q293" s="24"/>
      <c r="R293" s="124">
        <f t="shared" si="23"/>
        <v>132</v>
      </c>
      <c r="S293" s="7"/>
      <c r="T293" s="26">
        <f>+U293+V293</f>
        <v>827.58620689655174</v>
      </c>
      <c r="U293">
        <f>+U292*V293/V292</f>
        <v>107.58620689655172</v>
      </c>
      <c r="V293">
        <v>720</v>
      </c>
    </row>
    <row r="294" spans="8:22">
      <c r="H294" s="82" t="s">
        <v>84</v>
      </c>
      <c r="I294" s="83" t="s">
        <v>6</v>
      </c>
      <c r="J294" s="84" t="s">
        <v>99</v>
      </c>
      <c r="K294" s="85"/>
      <c r="L294" s="86">
        <f>+K294*3</f>
        <v>0</v>
      </c>
      <c r="M294" s="87"/>
      <c r="N294" s="86">
        <f>+M294*3</f>
        <v>0</v>
      </c>
      <c r="O294" s="88"/>
      <c r="P294" s="89">
        <f t="shared" si="24"/>
        <v>0</v>
      </c>
      <c r="Q294" s="90"/>
      <c r="R294" s="128">
        <f t="shared" si="23"/>
        <v>0</v>
      </c>
      <c r="S294" s="7"/>
      <c r="T294" s="63">
        <f>+T292-T293</f>
        <v>32.413793103448256</v>
      </c>
    </row>
    <row r="295" spans="8:22">
      <c r="I295" s="27" t="s">
        <v>31</v>
      </c>
      <c r="J295" s="30" t="s">
        <v>32</v>
      </c>
      <c r="K295" s="35"/>
      <c r="L295" s="21"/>
      <c r="M295" s="36"/>
      <c r="N295" s="21"/>
      <c r="O295" s="36"/>
      <c r="P295" s="31">
        <f t="shared" si="24"/>
        <v>0</v>
      </c>
      <c r="Q295" s="32"/>
      <c r="R295" s="124">
        <f t="shared" si="23"/>
        <v>0</v>
      </c>
      <c r="S295" s="7"/>
      <c r="T295" s="26">
        <v>150</v>
      </c>
      <c r="U295" s="68">
        <f>+T295-T294</f>
        <v>117.58620689655174</v>
      </c>
    </row>
    <row r="296" spans="8:22">
      <c r="I296" s="27" t="s">
        <v>54</v>
      </c>
      <c r="J296" s="30" t="s">
        <v>55</v>
      </c>
      <c r="K296" s="18"/>
      <c r="L296" s="21">
        <f>+K296*3</f>
        <v>0</v>
      </c>
      <c r="M296" s="20"/>
      <c r="N296" s="21">
        <f>+M296*3</f>
        <v>0</v>
      </c>
      <c r="O296" s="36"/>
      <c r="P296" s="31">
        <f t="shared" si="24"/>
        <v>0</v>
      </c>
      <c r="Q296" s="32"/>
      <c r="R296" s="124">
        <f t="shared" si="23"/>
        <v>0</v>
      </c>
      <c r="S296" s="7"/>
      <c r="T296" s="26"/>
    </row>
    <row r="297" spans="8:22">
      <c r="I297" s="113" t="s">
        <v>10</v>
      </c>
      <c r="J297" s="114" t="s">
        <v>34</v>
      </c>
      <c r="K297" s="115"/>
      <c r="L297" s="116"/>
      <c r="M297" s="117"/>
      <c r="N297" s="116"/>
      <c r="O297" s="117">
        <v>20</v>
      </c>
      <c r="P297" s="31">
        <f t="shared" si="24"/>
        <v>120</v>
      </c>
      <c r="Q297" s="32"/>
      <c r="R297" s="126">
        <f t="shared" si="23"/>
        <v>120</v>
      </c>
      <c r="S297" s="7"/>
      <c r="T297" s="26">
        <v>828</v>
      </c>
      <c r="U297">
        <v>107.64</v>
      </c>
      <c r="V297">
        <v>720.36</v>
      </c>
    </row>
    <row r="298" spans="8:22">
      <c r="I298" s="27" t="s">
        <v>9</v>
      </c>
      <c r="J298" s="30" t="s">
        <v>35</v>
      </c>
      <c r="K298" s="35"/>
      <c r="L298" s="21"/>
      <c r="M298" s="36"/>
      <c r="N298" s="21"/>
      <c r="O298" s="36">
        <v>4</v>
      </c>
      <c r="P298" s="31">
        <f t="shared" si="24"/>
        <v>24</v>
      </c>
      <c r="Q298" s="32"/>
      <c r="R298" s="125">
        <f t="shared" si="23"/>
        <v>24</v>
      </c>
      <c r="S298" s="7"/>
      <c r="T298" s="26">
        <f>+U298+V298</f>
        <v>827.58620689655174</v>
      </c>
      <c r="U298">
        <f>+U297*V298/V297</f>
        <v>107.58620689655173</v>
      </c>
      <c r="V298">
        <v>720</v>
      </c>
    </row>
    <row r="299" spans="8:22">
      <c r="I299" s="27" t="s">
        <v>36</v>
      </c>
      <c r="J299" s="30" t="s">
        <v>37</v>
      </c>
      <c r="K299" s="35"/>
      <c r="L299" s="21"/>
      <c r="M299" s="36"/>
      <c r="N299" s="21"/>
      <c r="O299" s="36">
        <v>24</v>
      </c>
      <c r="P299" s="31">
        <f t="shared" si="24"/>
        <v>144</v>
      </c>
      <c r="Q299" s="32"/>
      <c r="R299" s="124">
        <f t="shared" si="23"/>
        <v>144</v>
      </c>
      <c r="S299" s="7"/>
      <c r="T299" s="63">
        <f>+T297-T298</f>
        <v>0.41379310344825626</v>
      </c>
    </row>
    <row r="300" spans="8:22">
      <c r="I300" s="27" t="s">
        <v>64</v>
      </c>
      <c r="J300" s="30" t="s">
        <v>65</v>
      </c>
      <c r="K300" s="35"/>
      <c r="L300" s="21"/>
      <c r="M300" s="36"/>
      <c r="N300" s="21"/>
      <c r="O300" s="36">
        <v>2</v>
      </c>
      <c r="P300" s="31">
        <f t="shared" si="24"/>
        <v>12</v>
      </c>
      <c r="Q300" s="32"/>
      <c r="R300" s="125">
        <f t="shared" si="23"/>
        <v>12</v>
      </c>
      <c r="S300" s="7"/>
      <c r="T300" s="26">
        <v>150</v>
      </c>
      <c r="U300" s="68">
        <f>+T300-T299</f>
        <v>149.58620689655174</v>
      </c>
    </row>
    <row r="301" spans="8:22">
      <c r="I301" s="27" t="s">
        <v>13</v>
      </c>
      <c r="J301" s="30" t="s">
        <v>38</v>
      </c>
      <c r="K301" s="35"/>
      <c r="L301" s="21"/>
      <c r="M301" s="36"/>
      <c r="N301" s="21"/>
      <c r="O301" s="36"/>
      <c r="P301" s="31">
        <f t="shared" si="24"/>
        <v>0</v>
      </c>
      <c r="Q301" s="32"/>
      <c r="R301" s="124">
        <f t="shared" si="23"/>
        <v>0</v>
      </c>
      <c r="S301" s="7"/>
      <c r="T301" s="26"/>
    </row>
    <row r="302" spans="8:22">
      <c r="I302" s="27" t="s">
        <v>39</v>
      </c>
      <c r="J302" s="30" t="s">
        <v>40</v>
      </c>
      <c r="K302" s="35"/>
      <c r="L302" s="21"/>
      <c r="M302" s="36"/>
      <c r="N302" s="21"/>
      <c r="O302" s="36"/>
      <c r="P302" s="31">
        <f t="shared" si="24"/>
        <v>0</v>
      </c>
      <c r="Q302" s="32"/>
      <c r="R302" s="124">
        <f t="shared" si="23"/>
        <v>0</v>
      </c>
      <c r="S302" s="7"/>
      <c r="T302" s="78"/>
    </row>
    <row r="303" spans="8:22">
      <c r="H303" s="82" t="s">
        <v>84</v>
      </c>
      <c r="I303" s="83" t="s">
        <v>19</v>
      </c>
      <c r="J303" s="84" t="s">
        <v>20</v>
      </c>
      <c r="K303" s="85"/>
      <c r="L303" s="86">
        <f>+K303*3</f>
        <v>0</v>
      </c>
      <c r="M303" s="87"/>
      <c r="N303" s="86">
        <v>0</v>
      </c>
      <c r="O303" s="88"/>
      <c r="P303" s="89">
        <f t="shared" si="24"/>
        <v>0</v>
      </c>
      <c r="Q303" s="90"/>
      <c r="R303" s="129">
        <f t="shared" si="23"/>
        <v>0</v>
      </c>
      <c r="S303" s="7"/>
      <c r="T303" s="26"/>
      <c r="V303">
        <f>+U306</f>
        <v>24</v>
      </c>
    </row>
    <row r="304" spans="8:22">
      <c r="I304" s="27" t="s">
        <v>41</v>
      </c>
      <c r="J304" s="30" t="s">
        <v>42</v>
      </c>
      <c r="K304" s="35"/>
      <c r="L304" s="21"/>
      <c r="M304" s="36"/>
      <c r="N304" s="21"/>
      <c r="O304" s="36"/>
      <c r="P304" s="31">
        <f t="shared" si="24"/>
        <v>0</v>
      </c>
      <c r="Q304" s="32"/>
      <c r="R304" s="124">
        <f t="shared" si="23"/>
        <v>0</v>
      </c>
      <c r="S304" s="7"/>
      <c r="T304" s="26"/>
      <c r="U304">
        <v>16</v>
      </c>
      <c r="V304">
        <v>6</v>
      </c>
    </row>
    <row r="305" spans="9:22">
      <c r="I305" s="27" t="s">
        <v>26</v>
      </c>
      <c r="J305" s="30" t="s">
        <v>48</v>
      </c>
      <c r="K305" s="18"/>
      <c r="L305" s="21">
        <v>0</v>
      </c>
      <c r="M305" s="20"/>
      <c r="N305" s="21">
        <v>0</v>
      </c>
      <c r="O305" s="36">
        <v>23</v>
      </c>
      <c r="P305" s="31">
        <f t="shared" si="24"/>
        <v>138</v>
      </c>
      <c r="Q305" s="32"/>
      <c r="R305" s="125">
        <f t="shared" si="23"/>
        <v>138</v>
      </c>
      <c r="S305" s="7"/>
      <c r="T305" s="26"/>
      <c r="U305">
        <v>8</v>
      </c>
      <c r="V305">
        <f>+V303*V304</f>
        <v>144</v>
      </c>
    </row>
    <row r="306" spans="9:22">
      <c r="I306" s="27" t="s">
        <v>67</v>
      </c>
      <c r="J306" s="28" t="s">
        <v>68</v>
      </c>
      <c r="K306" s="18"/>
      <c r="L306" s="21">
        <v>0</v>
      </c>
      <c r="M306" s="20"/>
      <c r="N306" s="21">
        <f>+M306*3</f>
        <v>0</v>
      </c>
      <c r="O306" s="22"/>
      <c r="P306" s="31">
        <f t="shared" si="24"/>
        <v>0</v>
      </c>
      <c r="Q306" s="24"/>
      <c r="R306" s="124">
        <f t="shared" si="23"/>
        <v>0</v>
      </c>
      <c r="S306" s="7"/>
      <c r="T306" s="26"/>
      <c r="U306">
        <f>+U305+U304+U303</f>
        <v>24</v>
      </c>
    </row>
    <row r="307" spans="9:22">
      <c r="I307" s="33" t="s">
        <v>21</v>
      </c>
      <c r="J307" s="37" t="s">
        <v>22</v>
      </c>
      <c r="K307" s="45"/>
      <c r="L307" s="46">
        <v>0</v>
      </c>
      <c r="M307" s="47"/>
      <c r="N307" s="46">
        <f>+M307*3</f>
        <v>0</v>
      </c>
      <c r="O307" s="60"/>
      <c r="P307" s="61">
        <f t="shared" si="24"/>
        <v>0</v>
      </c>
      <c r="Q307" s="48">
        <v>1E-62</v>
      </c>
      <c r="R307" s="125">
        <f t="shared" si="23"/>
        <v>1E-62</v>
      </c>
      <c r="S307" s="127" t="s">
        <v>114</v>
      </c>
      <c r="T307" s="26"/>
    </row>
    <row r="308" spans="9:22">
      <c r="I308" s="27" t="s">
        <v>43</v>
      </c>
      <c r="J308" s="28" t="s">
        <v>73</v>
      </c>
      <c r="K308" s="18"/>
      <c r="L308" s="21">
        <v>0</v>
      </c>
      <c r="M308" s="20"/>
      <c r="N308" s="21">
        <f>+M308*3</f>
        <v>0</v>
      </c>
      <c r="O308" s="36"/>
      <c r="P308" s="31">
        <f t="shared" si="24"/>
        <v>0</v>
      </c>
      <c r="Q308" s="24"/>
      <c r="R308" s="125">
        <f t="shared" si="23"/>
        <v>0</v>
      </c>
      <c r="S308" s="7"/>
      <c r="T308" s="26"/>
    </row>
    <row r="309" spans="9:22">
      <c r="I309" s="27" t="s">
        <v>44</v>
      </c>
      <c r="J309" s="30" t="s">
        <v>45</v>
      </c>
      <c r="K309" s="27"/>
      <c r="L309" s="21">
        <f>+K309*3</f>
        <v>0</v>
      </c>
      <c r="M309" s="36"/>
      <c r="N309" s="21">
        <v>0</v>
      </c>
      <c r="O309" s="36">
        <v>20</v>
      </c>
      <c r="P309" s="31">
        <f t="shared" si="24"/>
        <v>120</v>
      </c>
      <c r="Q309" s="32"/>
      <c r="R309" s="124">
        <f t="shared" si="23"/>
        <v>120</v>
      </c>
      <c r="S309" s="130"/>
      <c r="T309" s="26"/>
    </row>
    <row r="310" spans="9:22">
      <c r="I310" s="113" t="s">
        <v>14</v>
      </c>
      <c r="J310" s="114" t="s">
        <v>66</v>
      </c>
      <c r="K310" s="120"/>
      <c r="L310" s="116">
        <f>+K310*3</f>
        <v>0</v>
      </c>
      <c r="M310" s="121"/>
      <c r="N310" s="116">
        <v>0</v>
      </c>
      <c r="O310" s="117">
        <v>37</v>
      </c>
      <c r="P310" s="31">
        <f t="shared" si="24"/>
        <v>150</v>
      </c>
      <c r="Q310" s="32"/>
      <c r="R310" s="126">
        <f t="shared" si="23"/>
        <v>150</v>
      </c>
      <c r="S310" s="7"/>
      <c r="T310" s="26"/>
    </row>
    <row r="311" spans="9:22">
      <c r="I311" s="27" t="s">
        <v>15</v>
      </c>
      <c r="J311" s="28" t="s">
        <v>16</v>
      </c>
      <c r="K311" s="18"/>
      <c r="L311" s="21">
        <f>+K311*3</f>
        <v>0</v>
      </c>
      <c r="M311" s="20"/>
      <c r="N311" s="21">
        <v>0</v>
      </c>
      <c r="O311" s="36"/>
      <c r="P311" s="23">
        <f t="shared" si="24"/>
        <v>0</v>
      </c>
      <c r="Q311" s="24"/>
      <c r="R311" s="124">
        <f t="shared" si="23"/>
        <v>0</v>
      </c>
      <c r="S311" s="7"/>
      <c r="T311" s="26"/>
    </row>
    <row r="312" spans="9:22">
      <c r="I312" s="27" t="s">
        <v>17</v>
      </c>
      <c r="J312" s="30" t="s">
        <v>46</v>
      </c>
      <c r="K312" s="35"/>
      <c r="L312" s="21"/>
      <c r="M312" s="36"/>
      <c r="N312" s="21">
        <f>+M312*3</f>
        <v>0</v>
      </c>
      <c r="O312" s="36"/>
      <c r="P312" s="31">
        <f t="shared" si="24"/>
        <v>0</v>
      </c>
      <c r="Q312" s="32"/>
      <c r="R312" s="124">
        <f t="shared" si="23"/>
        <v>0</v>
      </c>
      <c r="S312" s="130"/>
      <c r="T312" s="26"/>
    </row>
    <row r="313" spans="9:22">
      <c r="I313" s="113" t="s">
        <v>75</v>
      </c>
      <c r="J313" s="114" t="s">
        <v>76</v>
      </c>
      <c r="K313" s="115"/>
      <c r="L313" s="116"/>
      <c r="M313" s="117"/>
      <c r="N313" s="116"/>
      <c r="O313" s="117"/>
      <c r="P313" s="31">
        <f t="shared" si="24"/>
        <v>0</v>
      </c>
      <c r="Q313" s="32"/>
      <c r="R313" s="131">
        <f t="shared" si="23"/>
        <v>0</v>
      </c>
      <c r="S313" s="130"/>
      <c r="T313" s="26"/>
    </row>
    <row r="314" spans="9:22">
      <c r="I314" s="113" t="s">
        <v>69</v>
      </c>
      <c r="J314" s="114" t="s">
        <v>70</v>
      </c>
      <c r="K314" s="115"/>
      <c r="L314" s="116">
        <v>0</v>
      </c>
      <c r="M314" s="117"/>
      <c r="N314" s="116">
        <f>+M314*3</f>
        <v>0</v>
      </c>
      <c r="O314" s="117">
        <v>26</v>
      </c>
      <c r="P314" s="31">
        <f t="shared" si="24"/>
        <v>150</v>
      </c>
      <c r="Q314" s="32"/>
      <c r="R314" s="126">
        <f t="shared" si="23"/>
        <v>150</v>
      </c>
      <c r="S314" s="130"/>
      <c r="T314" s="26"/>
    </row>
    <row r="315" spans="9:22">
      <c r="I315" s="27" t="s">
        <v>91</v>
      </c>
      <c r="J315" s="30" t="s">
        <v>92</v>
      </c>
      <c r="K315" s="35"/>
      <c r="L315" s="21">
        <v>0</v>
      </c>
      <c r="M315" s="36"/>
      <c r="N315" s="21">
        <v>0</v>
      </c>
      <c r="O315" s="36">
        <v>24</v>
      </c>
      <c r="P315" s="31">
        <f t="shared" si="24"/>
        <v>144</v>
      </c>
      <c r="Q315" s="32"/>
      <c r="R315" s="125">
        <f t="shared" si="23"/>
        <v>144</v>
      </c>
      <c r="S315" s="130"/>
      <c r="T315" s="26"/>
    </row>
    <row r="316" spans="9:22">
      <c r="I316" s="38" t="s">
        <v>93</v>
      </c>
      <c r="J316" s="50" t="s">
        <v>94</v>
      </c>
      <c r="K316" s="51"/>
      <c r="L316" s="52">
        <v>0</v>
      </c>
      <c r="M316" s="53"/>
      <c r="N316" s="52">
        <v>0</v>
      </c>
      <c r="O316" s="79"/>
      <c r="P316" s="54">
        <f t="shared" si="24"/>
        <v>0</v>
      </c>
      <c r="Q316" s="55"/>
      <c r="R316" s="132">
        <f t="shared" si="23"/>
        <v>0</v>
      </c>
      <c r="S316" s="7"/>
      <c r="T316" s="26"/>
    </row>
    <row r="317" spans="9:22">
      <c r="I317" s="41"/>
      <c r="J317" s="42"/>
      <c r="K317" s="65">
        <f t="shared" ref="K317:Q317" si="25">SUM(K283:K316)</f>
        <v>0</v>
      </c>
      <c r="L317" s="66">
        <f t="shared" si="25"/>
        <v>0</v>
      </c>
      <c r="M317" s="56">
        <f t="shared" si="25"/>
        <v>0</v>
      </c>
      <c r="N317" s="58">
        <f t="shared" si="25"/>
        <v>0</v>
      </c>
      <c r="O317" s="56">
        <f t="shared" si="25"/>
        <v>350</v>
      </c>
      <c r="P317" s="58">
        <f t="shared" si="25"/>
        <v>1974</v>
      </c>
      <c r="Q317" s="58">
        <f t="shared" si="25"/>
        <v>98</v>
      </c>
      <c r="R317" s="57">
        <f t="shared" si="23"/>
        <v>2072</v>
      </c>
      <c r="S317" s="133"/>
      <c r="T317" s="26"/>
    </row>
    <row r="318" spans="9:22">
      <c r="N318" s="110" t="s">
        <v>105</v>
      </c>
      <c r="O318" s="1">
        <v>62</v>
      </c>
    </row>
    <row r="319" spans="9:22">
      <c r="N319" s="111" t="s">
        <v>106</v>
      </c>
      <c r="O319" s="112">
        <f>+O318+O317</f>
        <v>412</v>
      </c>
      <c r="R319" s="6">
        <f>+R317-R307-R292-R294</f>
        <v>1952</v>
      </c>
    </row>
    <row r="321" spans="8:22">
      <c r="I321" s="418" t="s">
        <v>115</v>
      </c>
      <c r="J321" s="418"/>
      <c r="K321" s="418"/>
      <c r="L321" s="418"/>
      <c r="M321" s="418"/>
      <c r="N321" s="418"/>
      <c r="O321" s="418"/>
      <c r="P321" s="418"/>
      <c r="Q321" s="418"/>
      <c r="R321" s="418"/>
      <c r="T321" s="43"/>
    </row>
    <row r="322" spans="8:22">
      <c r="I322" s="11"/>
      <c r="J322" s="11"/>
      <c r="K322" s="428" t="s">
        <v>58</v>
      </c>
      <c r="L322" s="429"/>
      <c r="M322" s="429"/>
      <c r="N322" s="430"/>
      <c r="O322" s="428" t="s">
        <v>59</v>
      </c>
      <c r="P322" s="430"/>
      <c r="Q322" s="11"/>
      <c r="R322" s="11"/>
      <c r="T322" s="43"/>
    </row>
    <row r="323" spans="8:22" ht="40.5">
      <c r="I323" s="12" t="s">
        <v>11</v>
      </c>
      <c r="J323" s="12" t="s">
        <v>3</v>
      </c>
      <c r="K323" s="64" t="s">
        <v>23</v>
      </c>
      <c r="L323" s="64" t="s">
        <v>77</v>
      </c>
      <c r="M323" s="13" t="s">
        <v>23</v>
      </c>
      <c r="N323" s="13" t="s">
        <v>116</v>
      </c>
      <c r="O323" s="13" t="s">
        <v>23</v>
      </c>
      <c r="P323" s="13" t="s">
        <v>117</v>
      </c>
      <c r="Q323" s="13" t="s">
        <v>118</v>
      </c>
      <c r="R323" s="14" t="s">
        <v>60</v>
      </c>
      <c r="S323" s="7"/>
      <c r="T323" s="43"/>
    </row>
    <row r="324" spans="8:22">
      <c r="I324" s="16" t="s">
        <v>61</v>
      </c>
      <c r="J324" s="17" t="s">
        <v>62</v>
      </c>
      <c r="K324" s="18"/>
      <c r="L324" s="19">
        <f>+K324*3</f>
        <v>0</v>
      </c>
      <c r="M324" s="20">
        <v>6</v>
      </c>
      <c r="N324" s="21">
        <v>0</v>
      </c>
      <c r="O324" s="22"/>
      <c r="P324" s="23"/>
      <c r="Q324" s="24"/>
      <c r="R324" s="134">
        <f>+L324+N324+P324+Q324</f>
        <v>0</v>
      </c>
      <c r="S324" s="7"/>
      <c r="T324" s="26"/>
    </row>
    <row r="325" spans="8:22">
      <c r="I325" s="27" t="s">
        <v>4</v>
      </c>
      <c r="J325" s="28" t="s">
        <v>12</v>
      </c>
      <c r="K325" s="18"/>
      <c r="L325" s="21">
        <f>+K325*3</f>
        <v>0</v>
      </c>
      <c r="M325" s="20"/>
      <c r="N325" s="21">
        <v>0</v>
      </c>
      <c r="O325" s="22"/>
      <c r="P325" s="23"/>
      <c r="Q325" s="24"/>
      <c r="R325" s="124">
        <f t="shared" ref="R325:R358" si="26">+L325+N325+P325+Q325</f>
        <v>0</v>
      </c>
      <c r="S325" s="7"/>
    </row>
    <row r="326" spans="8:22">
      <c r="I326" s="27" t="s">
        <v>1</v>
      </c>
      <c r="J326" s="30" t="s">
        <v>56</v>
      </c>
      <c r="K326" s="18"/>
      <c r="L326" s="21">
        <f>+K326*3</f>
        <v>0</v>
      </c>
      <c r="M326" s="20">
        <v>7</v>
      </c>
      <c r="N326" s="21">
        <v>0</v>
      </c>
      <c r="O326" s="36"/>
      <c r="P326" s="31">
        <f>IF(O326&gt;25,150,(O326)*6)</f>
        <v>0</v>
      </c>
      <c r="Q326" s="32"/>
      <c r="R326" s="124">
        <f t="shared" si="26"/>
        <v>0</v>
      </c>
      <c r="S326" s="7"/>
      <c r="T326" s="26"/>
      <c r="U326" s="426">
        <v>43165</v>
      </c>
      <c r="V326" s="427"/>
    </row>
    <row r="327" spans="8:22">
      <c r="I327" s="113" t="s">
        <v>2</v>
      </c>
      <c r="J327" s="114" t="s">
        <v>47</v>
      </c>
      <c r="K327" s="115"/>
      <c r="L327" s="116"/>
      <c r="M327" s="117"/>
      <c r="N327" s="116"/>
      <c r="O327" s="117">
        <v>36</v>
      </c>
      <c r="P327" s="31">
        <f>IF(O327&gt;25,150,(O327)*6)</f>
        <v>150</v>
      </c>
      <c r="Q327" s="32"/>
      <c r="R327" s="131">
        <f t="shared" si="26"/>
        <v>150</v>
      </c>
      <c r="S327" s="7"/>
      <c r="T327" s="26"/>
    </row>
    <row r="328" spans="8:22">
      <c r="I328" s="27" t="s">
        <v>0</v>
      </c>
      <c r="J328" s="28" t="s">
        <v>7</v>
      </c>
      <c r="K328" s="18"/>
      <c r="L328" s="21">
        <f>+K328*5</f>
        <v>0</v>
      </c>
      <c r="M328" s="20">
        <v>4</v>
      </c>
      <c r="N328" s="21">
        <f>5*M328</f>
        <v>20</v>
      </c>
      <c r="O328" s="22"/>
      <c r="P328" s="23">
        <v>9.9999999999999996E-70</v>
      </c>
      <c r="Q328" s="24"/>
      <c r="R328" s="124">
        <f t="shared" si="26"/>
        <v>20</v>
      </c>
      <c r="S328" s="7"/>
      <c r="T328" s="26"/>
    </row>
    <row r="329" spans="8:22">
      <c r="I329" s="27" t="s">
        <v>5</v>
      </c>
      <c r="J329" s="30" t="s">
        <v>71</v>
      </c>
      <c r="K329" s="18"/>
      <c r="L329" s="21">
        <f>+K329*3</f>
        <v>0</v>
      </c>
      <c r="M329" s="36"/>
      <c r="N329" s="21">
        <v>0</v>
      </c>
      <c r="O329" s="36">
        <v>26</v>
      </c>
      <c r="P329" s="31">
        <f t="shared" ref="P329:P357" si="27">IF(O329&gt;25,150,(O329)*6)</f>
        <v>150</v>
      </c>
      <c r="Q329" s="32"/>
      <c r="R329" s="124">
        <f t="shared" si="26"/>
        <v>150</v>
      </c>
      <c r="S329" s="7"/>
      <c r="T329" s="26"/>
    </row>
    <row r="330" spans="8:22">
      <c r="I330" s="27" t="s">
        <v>27</v>
      </c>
      <c r="J330" s="30" t="s">
        <v>28</v>
      </c>
      <c r="K330" s="18"/>
      <c r="L330" s="21">
        <v>0</v>
      </c>
      <c r="M330" s="36">
        <v>4</v>
      </c>
      <c r="N330" s="21">
        <v>0</v>
      </c>
      <c r="O330" s="36"/>
      <c r="P330" s="31">
        <f t="shared" si="27"/>
        <v>0</v>
      </c>
      <c r="Q330" s="32"/>
      <c r="R330" s="124">
        <f t="shared" si="26"/>
        <v>0</v>
      </c>
      <c r="S330" s="7"/>
      <c r="T330" s="26"/>
    </row>
    <row r="331" spans="8:22">
      <c r="I331" s="27" t="s">
        <v>8</v>
      </c>
      <c r="J331" s="30" t="s">
        <v>29</v>
      </c>
      <c r="K331" s="35"/>
      <c r="L331" s="21"/>
      <c r="M331" s="36"/>
      <c r="N331" s="21">
        <v>0</v>
      </c>
      <c r="O331" s="36">
        <v>39</v>
      </c>
      <c r="P331" s="31">
        <f t="shared" si="27"/>
        <v>150</v>
      </c>
      <c r="Q331" s="32"/>
      <c r="R331" s="124">
        <f t="shared" si="26"/>
        <v>150</v>
      </c>
      <c r="S331" s="7"/>
      <c r="T331" s="26"/>
    </row>
    <row r="332" spans="8:22">
      <c r="I332" s="27" t="s">
        <v>25</v>
      </c>
      <c r="J332" s="30" t="s">
        <v>33</v>
      </c>
      <c r="K332" s="35"/>
      <c r="L332" s="21"/>
      <c r="M332" s="36"/>
      <c r="N332" s="21">
        <v>0</v>
      </c>
      <c r="O332" s="36"/>
      <c r="P332" s="31">
        <f t="shared" si="27"/>
        <v>0</v>
      </c>
      <c r="Q332" s="32"/>
      <c r="R332" s="124">
        <f t="shared" si="26"/>
        <v>0</v>
      </c>
      <c r="S332" s="7"/>
      <c r="T332" s="26"/>
    </row>
    <row r="333" spans="8:22">
      <c r="I333" s="27" t="s">
        <v>24</v>
      </c>
      <c r="J333" s="30" t="s">
        <v>30</v>
      </c>
      <c r="K333" s="18"/>
      <c r="L333" s="21">
        <v>0</v>
      </c>
      <c r="M333" s="20"/>
      <c r="N333" s="21">
        <v>0</v>
      </c>
      <c r="O333" s="36">
        <v>34</v>
      </c>
      <c r="P333" s="31">
        <f t="shared" si="27"/>
        <v>150</v>
      </c>
      <c r="Q333" s="32"/>
      <c r="R333" s="124">
        <f t="shared" si="26"/>
        <v>150</v>
      </c>
      <c r="S333" s="7"/>
      <c r="T333" s="26">
        <v>860</v>
      </c>
      <c r="U333">
        <v>111.8</v>
      </c>
      <c r="V333">
        <v>748.2</v>
      </c>
    </row>
    <row r="334" spans="8:22">
      <c r="I334" s="27" t="s">
        <v>18</v>
      </c>
      <c r="J334" s="28" t="s">
        <v>72</v>
      </c>
      <c r="K334" s="18"/>
      <c r="L334" s="21">
        <f>+K334*3</f>
        <v>0</v>
      </c>
      <c r="M334" s="20"/>
      <c r="N334" s="21">
        <v>0</v>
      </c>
      <c r="O334" s="36">
        <v>40</v>
      </c>
      <c r="P334" s="31">
        <f t="shared" si="27"/>
        <v>150</v>
      </c>
      <c r="Q334" s="24"/>
      <c r="R334" s="124">
        <f t="shared" si="26"/>
        <v>150</v>
      </c>
      <c r="S334" s="7"/>
      <c r="T334" s="26">
        <f>+U334+V334</f>
        <v>827.58620689655174</v>
      </c>
      <c r="U334">
        <f>+U333*V334/V333</f>
        <v>107.58620689655172</v>
      </c>
      <c r="V334">
        <v>720</v>
      </c>
    </row>
    <row r="335" spans="8:22">
      <c r="H335" s="82" t="s">
        <v>84</v>
      </c>
      <c r="I335" s="83" t="s">
        <v>6</v>
      </c>
      <c r="J335" s="84" t="s">
        <v>99</v>
      </c>
      <c r="K335" s="85"/>
      <c r="L335" s="86">
        <f>+K335*3</f>
        <v>0</v>
      </c>
      <c r="M335" s="87">
        <v>2</v>
      </c>
      <c r="N335" s="86">
        <v>0</v>
      </c>
      <c r="O335" s="88"/>
      <c r="P335" s="89">
        <f t="shared" si="27"/>
        <v>0</v>
      </c>
      <c r="Q335" s="90"/>
      <c r="R335" s="135">
        <f t="shared" si="26"/>
        <v>0</v>
      </c>
      <c r="S335" s="7"/>
      <c r="T335" s="63">
        <f>+T333-T334</f>
        <v>32.413793103448256</v>
      </c>
    </row>
    <row r="336" spans="8:22">
      <c r="I336" s="27" t="s">
        <v>31</v>
      </c>
      <c r="J336" s="30" t="s">
        <v>32</v>
      </c>
      <c r="K336" s="35"/>
      <c r="L336" s="21"/>
      <c r="M336" s="36"/>
      <c r="N336" s="21"/>
      <c r="O336" s="36">
        <v>37</v>
      </c>
      <c r="P336" s="31">
        <f t="shared" si="27"/>
        <v>150</v>
      </c>
      <c r="Q336" s="32">
        <v>28</v>
      </c>
      <c r="R336" s="124">
        <f t="shared" si="26"/>
        <v>178</v>
      </c>
      <c r="S336" s="7"/>
      <c r="T336" s="26">
        <v>150</v>
      </c>
      <c r="U336" s="68">
        <f>+T336-T335</f>
        <v>117.58620689655174</v>
      </c>
    </row>
    <row r="337" spans="8:22">
      <c r="I337" s="27" t="s">
        <v>54</v>
      </c>
      <c r="J337" s="30" t="s">
        <v>55</v>
      </c>
      <c r="K337" s="18"/>
      <c r="L337" s="21">
        <f>+K337*3</f>
        <v>0</v>
      </c>
      <c r="M337" s="20"/>
      <c r="N337" s="21">
        <f>+M337*3</f>
        <v>0</v>
      </c>
      <c r="O337" s="36"/>
      <c r="P337" s="31">
        <f t="shared" si="27"/>
        <v>0</v>
      </c>
      <c r="Q337" s="32"/>
      <c r="R337" s="124">
        <f t="shared" si="26"/>
        <v>0</v>
      </c>
      <c r="S337" s="7"/>
      <c r="T337" s="26"/>
    </row>
    <row r="338" spans="8:22">
      <c r="I338" s="113" t="s">
        <v>10</v>
      </c>
      <c r="J338" s="114" t="s">
        <v>34</v>
      </c>
      <c r="K338" s="115"/>
      <c r="L338" s="116"/>
      <c r="M338" s="117"/>
      <c r="N338" s="116"/>
      <c r="O338" s="117"/>
      <c r="P338" s="31">
        <f t="shared" si="27"/>
        <v>0</v>
      </c>
      <c r="Q338" s="32"/>
      <c r="R338" s="131">
        <f t="shared" si="26"/>
        <v>0</v>
      </c>
      <c r="S338" s="7"/>
      <c r="T338" s="26">
        <v>828</v>
      </c>
      <c r="U338">
        <v>107.64</v>
      </c>
      <c r="V338">
        <v>720.36</v>
      </c>
    </row>
    <row r="339" spans="8:22">
      <c r="I339" s="27" t="s">
        <v>36</v>
      </c>
      <c r="J339" s="30" t="s">
        <v>37</v>
      </c>
      <c r="K339" s="35"/>
      <c r="L339" s="21"/>
      <c r="M339" s="36"/>
      <c r="N339" s="21"/>
      <c r="O339" s="36">
        <v>29</v>
      </c>
      <c r="P339" s="31">
        <f t="shared" si="27"/>
        <v>150</v>
      </c>
      <c r="Q339" s="32"/>
      <c r="R339" s="124">
        <f t="shared" si="26"/>
        <v>150</v>
      </c>
      <c r="S339" s="7"/>
      <c r="T339" s="26">
        <f>+U339+V339</f>
        <v>827.58620689655174</v>
      </c>
      <c r="U339">
        <f>+U338*V339/V338</f>
        <v>107.58620689655173</v>
      </c>
      <c r="V339">
        <v>720</v>
      </c>
    </row>
    <row r="340" spans="8:22">
      <c r="I340" s="27" t="s">
        <v>64</v>
      </c>
      <c r="J340" s="30" t="s">
        <v>65</v>
      </c>
      <c r="K340" s="35"/>
      <c r="L340" s="21"/>
      <c r="M340" s="36"/>
      <c r="N340" s="21"/>
      <c r="O340" s="36"/>
      <c r="P340" s="31">
        <f t="shared" si="27"/>
        <v>0</v>
      </c>
      <c r="Q340" s="32"/>
      <c r="R340" s="124">
        <f t="shared" si="26"/>
        <v>0</v>
      </c>
      <c r="S340" s="7"/>
      <c r="T340" s="63">
        <f>+T338-T339</f>
        <v>0.41379310344825626</v>
      </c>
    </row>
    <row r="341" spans="8:22">
      <c r="I341" s="27" t="s">
        <v>13</v>
      </c>
      <c r="J341" s="30" t="s">
        <v>38</v>
      </c>
      <c r="K341" s="35"/>
      <c r="L341" s="21"/>
      <c r="M341" s="36"/>
      <c r="N341" s="21"/>
      <c r="O341" s="36">
        <v>34</v>
      </c>
      <c r="P341" s="31">
        <f t="shared" si="27"/>
        <v>150</v>
      </c>
      <c r="Q341" s="32"/>
      <c r="R341" s="124">
        <f t="shared" si="26"/>
        <v>150</v>
      </c>
      <c r="S341" s="7"/>
      <c r="T341" s="26">
        <v>150</v>
      </c>
      <c r="U341" s="68">
        <f>+T341-T340</f>
        <v>149.58620689655174</v>
      </c>
    </row>
    <row r="342" spans="8:22">
      <c r="I342" s="27" t="s">
        <v>39</v>
      </c>
      <c r="J342" s="30" t="s">
        <v>40</v>
      </c>
      <c r="K342" s="35"/>
      <c r="L342" s="21"/>
      <c r="M342" s="36"/>
      <c r="N342" s="21"/>
      <c r="O342" s="36"/>
      <c r="P342" s="31">
        <f t="shared" si="27"/>
        <v>0</v>
      </c>
      <c r="Q342" s="32"/>
      <c r="R342" s="124">
        <f t="shared" si="26"/>
        <v>0</v>
      </c>
      <c r="S342" s="7"/>
      <c r="T342" s="26"/>
    </row>
    <row r="343" spans="8:22">
      <c r="H343" s="82" t="s">
        <v>84</v>
      </c>
      <c r="I343" s="83" t="s">
        <v>19</v>
      </c>
      <c r="J343" s="84" t="s">
        <v>20</v>
      </c>
      <c r="K343" s="85"/>
      <c r="L343" s="86">
        <f>+K343*3</f>
        <v>0</v>
      </c>
      <c r="M343" s="87"/>
      <c r="N343" s="86">
        <v>0</v>
      </c>
      <c r="O343" s="88"/>
      <c r="P343" s="89">
        <f t="shared" si="27"/>
        <v>0</v>
      </c>
      <c r="Q343" s="90"/>
      <c r="R343" s="135">
        <f t="shared" si="26"/>
        <v>0</v>
      </c>
      <c r="S343" s="7"/>
      <c r="T343" s="78"/>
    </row>
    <row r="344" spans="8:22">
      <c r="I344" s="27" t="s">
        <v>41</v>
      </c>
      <c r="J344" s="30" t="s">
        <v>42</v>
      </c>
      <c r="K344" s="35"/>
      <c r="L344" s="21"/>
      <c r="M344" s="36"/>
      <c r="N344" s="21"/>
      <c r="O344" s="36"/>
      <c r="P344" s="31">
        <f t="shared" si="27"/>
        <v>0</v>
      </c>
      <c r="Q344" s="32"/>
      <c r="R344" s="124">
        <f t="shared" si="26"/>
        <v>0</v>
      </c>
      <c r="S344" s="7"/>
      <c r="T344" s="26"/>
      <c r="V344">
        <f>+U347</f>
        <v>24</v>
      </c>
    </row>
    <row r="345" spans="8:22">
      <c r="I345" s="27" t="s">
        <v>26</v>
      </c>
      <c r="J345" s="30" t="s">
        <v>48</v>
      </c>
      <c r="K345" s="18"/>
      <c r="L345" s="21">
        <v>0</v>
      </c>
      <c r="M345" s="20"/>
      <c r="N345" s="21">
        <v>0</v>
      </c>
      <c r="O345" s="36">
        <v>29</v>
      </c>
      <c r="P345" s="31">
        <f t="shared" si="27"/>
        <v>150</v>
      </c>
      <c r="Q345" s="32"/>
      <c r="R345" s="124">
        <f t="shared" si="26"/>
        <v>150</v>
      </c>
      <c r="S345" s="7"/>
      <c r="T345" s="26"/>
      <c r="U345">
        <v>16</v>
      </c>
      <c r="V345">
        <v>6</v>
      </c>
    </row>
    <row r="346" spans="8:22">
      <c r="I346" s="27" t="s">
        <v>67</v>
      </c>
      <c r="J346" s="28" t="s">
        <v>68</v>
      </c>
      <c r="K346" s="18"/>
      <c r="L346" s="21">
        <v>0</v>
      </c>
      <c r="M346" s="20"/>
      <c r="N346" s="21">
        <f>+M346*3</f>
        <v>0</v>
      </c>
      <c r="O346" s="22"/>
      <c r="P346" s="31">
        <f t="shared" si="27"/>
        <v>0</v>
      </c>
      <c r="Q346" s="24"/>
      <c r="R346" s="124">
        <f t="shared" si="26"/>
        <v>0</v>
      </c>
      <c r="S346" s="7"/>
      <c r="T346" s="26"/>
      <c r="U346">
        <v>8</v>
      </c>
      <c r="V346">
        <f>+V344*V345</f>
        <v>144</v>
      </c>
    </row>
    <row r="347" spans="8:22">
      <c r="I347" s="27" t="s">
        <v>21</v>
      </c>
      <c r="J347" s="28" t="s">
        <v>22</v>
      </c>
      <c r="K347" s="18"/>
      <c r="L347" s="21">
        <v>0</v>
      </c>
      <c r="M347" s="20">
        <v>6</v>
      </c>
      <c r="N347" s="21">
        <v>0</v>
      </c>
      <c r="O347" s="36"/>
      <c r="P347" s="31">
        <f t="shared" si="27"/>
        <v>0</v>
      </c>
      <c r="Q347" s="24"/>
      <c r="R347" s="124">
        <f t="shared" si="26"/>
        <v>0</v>
      </c>
      <c r="S347" s="7"/>
      <c r="T347" s="26"/>
      <c r="U347">
        <f>+U346+U345+U344</f>
        <v>24</v>
      </c>
    </row>
    <row r="348" spans="8:22">
      <c r="I348" s="27" t="s">
        <v>43</v>
      </c>
      <c r="J348" s="28" t="s">
        <v>73</v>
      </c>
      <c r="K348" s="18"/>
      <c r="L348" s="21">
        <v>0</v>
      </c>
      <c r="M348" s="20"/>
      <c r="N348" s="21">
        <f>+M348*3</f>
        <v>0</v>
      </c>
      <c r="O348" s="36">
        <v>46</v>
      </c>
      <c r="P348" s="31">
        <f t="shared" si="27"/>
        <v>150</v>
      </c>
      <c r="Q348" s="24"/>
      <c r="R348" s="124">
        <f t="shared" si="26"/>
        <v>150</v>
      </c>
      <c r="S348" s="7"/>
      <c r="T348" s="26"/>
    </row>
    <row r="349" spans="8:22">
      <c r="I349" s="27" t="s">
        <v>44</v>
      </c>
      <c r="J349" s="30" t="s">
        <v>45</v>
      </c>
      <c r="K349" s="27"/>
      <c r="L349" s="21">
        <f>+K349*3</f>
        <v>0</v>
      </c>
      <c r="M349" s="36"/>
      <c r="N349" s="21">
        <v>0</v>
      </c>
      <c r="O349" s="36">
        <v>34</v>
      </c>
      <c r="P349" s="31">
        <f t="shared" si="27"/>
        <v>150</v>
      </c>
      <c r="Q349" s="32"/>
      <c r="R349" s="124">
        <f t="shared" si="26"/>
        <v>150</v>
      </c>
      <c r="S349" s="130"/>
      <c r="T349" s="26"/>
    </row>
    <row r="350" spans="8:22">
      <c r="I350" s="113" t="s">
        <v>14</v>
      </c>
      <c r="J350" s="114" t="s">
        <v>66</v>
      </c>
      <c r="K350" s="120"/>
      <c r="L350" s="116">
        <f>+K350*3</f>
        <v>0</v>
      </c>
      <c r="M350" s="121"/>
      <c r="N350" s="116">
        <v>0</v>
      </c>
      <c r="O350" s="117">
        <v>43</v>
      </c>
      <c r="P350" s="31">
        <f t="shared" si="27"/>
        <v>150</v>
      </c>
      <c r="Q350" s="32"/>
      <c r="R350" s="131">
        <f t="shared" si="26"/>
        <v>150</v>
      </c>
      <c r="S350" s="7"/>
      <c r="T350" s="26"/>
    </row>
    <row r="351" spans="8:22">
      <c r="I351" s="27" t="s">
        <v>15</v>
      </c>
      <c r="J351" s="28" t="s">
        <v>16</v>
      </c>
      <c r="K351" s="18"/>
      <c r="L351" s="21">
        <f>+K351*3</f>
        <v>0</v>
      </c>
      <c r="M351" s="20">
        <v>5</v>
      </c>
      <c r="N351" s="21">
        <v>0</v>
      </c>
      <c r="O351" s="36"/>
      <c r="P351" s="23">
        <f t="shared" si="27"/>
        <v>0</v>
      </c>
      <c r="Q351" s="24"/>
      <c r="R351" s="124">
        <f t="shared" si="26"/>
        <v>0</v>
      </c>
      <c r="S351" s="7"/>
      <c r="T351" s="26"/>
    </row>
    <row r="352" spans="8:22">
      <c r="I352" s="27" t="s">
        <v>17</v>
      </c>
      <c r="J352" s="30" t="s">
        <v>119</v>
      </c>
      <c r="K352" s="35"/>
      <c r="L352" s="21"/>
      <c r="M352" s="36">
        <v>5</v>
      </c>
      <c r="N352" s="21">
        <v>0</v>
      </c>
      <c r="O352" s="36"/>
      <c r="P352" s="31">
        <f t="shared" si="27"/>
        <v>0</v>
      </c>
      <c r="Q352" s="32"/>
      <c r="R352" s="124">
        <f t="shared" si="26"/>
        <v>0</v>
      </c>
      <c r="S352" s="130"/>
      <c r="T352" s="26"/>
    </row>
    <row r="353" spans="9:22">
      <c r="I353" s="113" t="s">
        <v>75</v>
      </c>
      <c r="J353" s="114" t="s">
        <v>76</v>
      </c>
      <c r="K353" s="115"/>
      <c r="L353" s="116"/>
      <c r="M353" s="117"/>
      <c r="N353" s="116"/>
      <c r="O353" s="117">
        <v>25</v>
      </c>
      <c r="P353" s="31">
        <f t="shared" si="27"/>
        <v>150</v>
      </c>
      <c r="Q353" s="32"/>
      <c r="R353" s="131">
        <f t="shared" si="26"/>
        <v>150</v>
      </c>
      <c r="S353" s="130"/>
      <c r="T353" s="26"/>
    </row>
    <row r="354" spans="9:22">
      <c r="I354" s="113" t="s">
        <v>69</v>
      </c>
      <c r="J354" s="114" t="s">
        <v>70</v>
      </c>
      <c r="K354" s="115"/>
      <c r="L354" s="116">
        <v>0</v>
      </c>
      <c r="M354" s="117"/>
      <c r="N354" s="116">
        <f>+M354*3</f>
        <v>0</v>
      </c>
      <c r="O354" s="117"/>
      <c r="P354" s="31">
        <f t="shared" si="27"/>
        <v>0</v>
      </c>
      <c r="Q354" s="32"/>
      <c r="R354" s="131">
        <f t="shared" si="26"/>
        <v>0</v>
      </c>
      <c r="S354" s="130"/>
      <c r="T354" s="26"/>
    </row>
    <row r="355" spans="9:22">
      <c r="I355" s="27" t="s">
        <v>91</v>
      </c>
      <c r="J355" s="30" t="s">
        <v>92</v>
      </c>
      <c r="K355" s="35"/>
      <c r="L355" s="21">
        <v>0</v>
      </c>
      <c r="M355" s="36"/>
      <c r="N355" s="21">
        <v>0</v>
      </c>
      <c r="O355" s="36"/>
      <c r="P355" s="31">
        <f t="shared" si="27"/>
        <v>0</v>
      </c>
      <c r="Q355" s="32"/>
      <c r="R355" s="124">
        <f t="shared" si="26"/>
        <v>0</v>
      </c>
      <c r="S355" s="130"/>
      <c r="T355" s="26"/>
    </row>
    <row r="356" spans="9:22">
      <c r="I356" s="27" t="s">
        <v>93</v>
      </c>
      <c r="J356" s="28" t="s">
        <v>94</v>
      </c>
      <c r="K356" s="18"/>
      <c r="L356" s="21">
        <v>0</v>
      </c>
      <c r="M356" s="20">
        <v>4</v>
      </c>
      <c r="N356" s="21">
        <v>0</v>
      </c>
      <c r="O356" s="36"/>
      <c r="P356" s="31">
        <f t="shared" si="27"/>
        <v>0</v>
      </c>
      <c r="Q356" s="24"/>
      <c r="R356" s="124">
        <f t="shared" si="26"/>
        <v>0</v>
      </c>
      <c r="S356" s="7"/>
      <c r="T356" s="26"/>
    </row>
    <row r="357" spans="9:22">
      <c r="I357" s="38" t="s">
        <v>120</v>
      </c>
      <c r="J357" s="50" t="s">
        <v>121</v>
      </c>
      <c r="K357" s="51"/>
      <c r="L357" s="52">
        <v>0</v>
      </c>
      <c r="M357" s="53"/>
      <c r="N357" s="52">
        <v>0</v>
      </c>
      <c r="O357" s="79">
        <v>29</v>
      </c>
      <c r="P357" s="54">
        <f t="shared" si="27"/>
        <v>150</v>
      </c>
      <c r="Q357" s="55"/>
      <c r="R357" s="132">
        <f t="shared" si="26"/>
        <v>150</v>
      </c>
      <c r="S357" s="7"/>
      <c r="T357" s="26"/>
    </row>
    <row r="358" spans="9:22">
      <c r="I358" s="41"/>
      <c r="J358" s="42"/>
      <c r="K358" s="65">
        <f t="shared" ref="K358:Q358" si="28">SUM(K324:K357)</f>
        <v>0</v>
      </c>
      <c r="L358" s="66">
        <f t="shared" si="28"/>
        <v>0</v>
      </c>
      <c r="M358" s="56">
        <f t="shared" si="28"/>
        <v>43</v>
      </c>
      <c r="N358" s="58">
        <f t="shared" si="28"/>
        <v>20</v>
      </c>
      <c r="O358" s="56">
        <f t="shared" si="28"/>
        <v>481</v>
      </c>
      <c r="P358" s="58">
        <f t="shared" si="28"/>
        <v>2100</v>
      </c>
      <c r="Q358" s="58">
        <f t="shared" si="28"/>
        <v>28</v>
      </c>
      <c r="R358" s="57">
        <f t="shared" si="26"/>
        <v>2148</v>
      </c>
      <c r="S358" s="133"/>
      <c r="T358" s="26"/>
    </row>
    <row r="359" spans="9:22">
      <c r="N359" s="110" t="s">
        <v>105</v>
      </c>
      <c r="O359" s="1">
        <v>62</v>
      </c>
      <c r="T359" s="26"/>
    </row>
    <row r="360" spans="9:22">
      <c r="N360" s="111" t="s">
        <v>106</v>
      </c>
      <c r="O360" s="112">
        <f>+O359+O358</f>
        <v>543</v>
      </c>
      <c r="R360" s="6">
        <f>+R358-R347-R333-R335</f>
        <v>1998</v>
      </c>
    </row>
    <row r="363" spans="9:22">
      <c r="I363" s="418" t="s">
        <v>122</v>
      </c>
      <c r="J363" s="418"/>
      <c r="K363" s="418"/>
      <c r="L363" s="418"/>
      <c r="M363" s="418"/>
      <c r="N363" s="418"/>
      <c r="O363" s="418"/>
      <c r="P363" s="418"/>
      <c r="Q363" s="418"/>
      <c r="R363" s="418"/>
      <c r="T363" s="43"/>
    </row>
    <row r="364" spans="9:22">
      <c r="I364" s="11"/>
      <c r="J364" s="11"/>
      <c r="K364" s="428" t="s">
        <v>58</v>
      </c>
      <c r="L364" s="429"/>
      <c r="M364" s="429"/>
      <c r="N364" s="430"/>
      <c r="O364" s="428" t="s">
        <v>59</v>
      </c>
      <c r="P364" s="430"/>
      <c r="Q364" s="11"/>
      <c r="R364" s="11"/>
      <c r="T364" s="43"/>
    </row>
    <row r="365" spans="9:22" ht="40.5">
      <c r="I365" s="12" t="s">
        <v>11</v>
      </c>
      <c r="J365" s="12" t="s">
        <v>3</v>
      </c>
      <c r="K365" s="64" t="s">
        <v>23</v>
      </c>
      <c r="L365" s="64" t="s">
        <v>77</v>
      </c>
      <c r="M365" s="13" t="s">
        <v>23</v>
      </c>
      <c r="N365" s="13" t="s">
        <v>123</v>
      </c>
      <c r="O365" s="13" t="s">
        <v>23</v>
      </c>
      <c r="P365" s="13" t="s">
        <v>117</v>
      </c>
      <c r="Q365" s="13" t="s">
        <v>124</v>
      </c>
      <c r="R365" s="14" t="s">
        <v>60</v>
      </c>
      <c r="S365" s="7"/>
      <c r="T365" s="43"/>
    </row>
    <row r="366" spans="9:22">
      <c r="I366" s="16" t="s">
        <v>61</v>
      </c>
      <c r="J366" s="17" t="s">
        <v>62</v>
      </c>
      <c r="K366" s="18"/>
      <c r="L366" s="19">
        <f>+K366*3</f>
        <v>0</v>
      </c>
      <c r="M366" s="20">
        <v>15</v>
      </c>
      <c r="N366" s="21">
        <v>0</v>
      </c>
      <c r="O366" s="22"/>
      <c r="P366" s="23"/>
      <c r="Q366" s="24">
        <f>5*6</f>
        <v>30</v>
      </c>
      <c r="R366" s="134">
        <f>+L366+N366+P366+Q366</f>
        <v>30</v>
      </c>
      <c r="S366" s="7"/>
      <c r="T366" s="26"/>
    </row>
    <row r="367" spans="9:22">
      <c r="I367" s="27" t="s">
        <v>4</v>
      </c>
      <c r="J367" s="28" t="s">
        <v>12</v>
      </c>
      <c r="K367" s="18"/>
      <c r="L367" s="21">
        <f>+K367*3</f>
        <v>0</v>
      </c>
      <c r="M367" s="20"/>
      <c r="N367" s="21">
        <v>0</v>
      </c>
      <c r="O367" s="22"/>
      <c r="P367" s="23"/>
      <c r="Q367" s="24"/>
      <c r="R367" s="124">
        <f t="shared" ref="R367:R391" si="29">+L367+N367+P367+Q367</f>
        <v>0</v>
      </c>
      <c r="S367" s="7"/>
    </row>
    <row r="368" spans="9:22">
      <c r="I368" s="27" t="s">
        <v>1</v>
      </c>
      <c r="J368" s="30" t="s">
        <v>56</v>
      </c>
      <c r="K368" s="18"/>
      <c r="L368" s="21">
        <f>+K368*3</f>
        <v>0</v>
      </c>
      <c r="M368" s="20">
        <v>12</v>
      </c>
      <c r="N368" s="21">
        <v>0</v>
      </c>
      <c r="O368" s="36"/>
      <c r="P368" s="31">
        <f>IF(O368&gt;25,150,(O368)*6)</f>
        <v>0</v>
      </c>
      <c r="Q368" s="32">
        <f>5*7</f>
        <v>35</v>
      </c>
      <c r="R368" s="124">
        <f t="shared" si="29"/>
        <v>35</v>
      </c>
      <c r="S368" s="7"/>
      <c r="T368" s="26"/>
      <c r="U368" s="426">
        <v>43172</v>
      </c>
      <c r="V368" s="427"/>
    </row>
    <row r="369" spans="8:22">
      <c r="I369" s="113" t="s">
        <v>2</v>
      </c>
      <c r="J369" s="114" t="s">
        <v>47</v>
      </c>
      <c r="K369" s="115"/>
      <c r="L369" s="116"/>
      <c r="M369" s="117"/>
      <c r="N369" s="116"/>
      <c r="O369" s="117">
        <v>37</v>
      </c>
      <c r="P369" s="31">
        <f>IF(O369&gt;25,150,(O369)*6)</f>
        <v>150</v>
      </c>
      <c r="Q369" s="32"/>
      <c r="R369" s="131">
        <f t="shared" si="29"/>
        <v>150</v>
      </c>
      <c r="S369" s="7"/>
      <c r="T369" s="26"/>
    </row>
    <row r="370" spans="8:22">
      <c r="I370" s="27" t="s">
        <v>0</v>
      </c>
      <c r="J370" s="28" t="s">
        <v>7</v>
      </c>
      <c r="K370" s="18"/>
      <c r="L370" s="21">
        <f>+K370*5</f>
        <v>0</v>
      </c>
      <c r="M370" s="20">
        <v>11</v>
      </c>
      <c r="N370" s="21">
        <f>5*M370</f>
        <v>55</v>
      </c>
      <c r="O370" s="22"/>
      <c r="P370" s="23">
        <v>9.9999999999999996E-70</v>
      </c>
      <c r="Q370" s="24"/>
      <c r="R370" s="124">
        <f t="shared" si="29"/>
        <v>55</v>
      </c>
      <c r="S370" s="7"/>
      <c r="T370" s="26"/>
    </row>
    <row r="371" spans="8:22">
      <c r="I371" s="27" t="s">
        <v>5</v>
      </c>
      <c r="J371" s="30" t="s">
        <v>71</v>
      </c>
      <c r="K371" s="18"/>
      <c r="L371" s="21">
        <f>+K371*3</f>
        <v>0</v>
      </c>
      <c r="M371" s="36">
        <v>13</v>
      </c>
      <c r="N371" s="21">
        <v>0</v>
      </c>
      <c r="O371" s="36"/>
      <c r="P371" s="31">
        <f t="shared" ref="P371:P401" si="30">IF(O371&gt;25,150,(O371)*6)</f>
        <v>0</v>
      </c>
      <c r="Q371" s="32">
        <f>10+20</f>
        <v>30</v>
      </c>
      <c r="R371" s="124">
        <f t="shared" si="29"/>
        <v>30</v>
      </c>
      <c r="S371" s="7"/>
      <c r="T371" s="26"/>
    </row>
    <row r="372" spans="8:22">
      <c r="I372" s="27" t="s">
        <v>27</v>
      </c>
      <c r="J372" s="30" t="s">
        <v>28</v>
      </c>
      <c r="K372" s="18"/>
      <c r="L372" s="21">
        <v>0</v>
      </c>
      <c r="M372" s="36">
        <v>9</v>
      </c>
      <c r="N372" s="21">
        <v>0</v>
      </c>
      <c r="O372" s="36"/>
      <c r="P372" s="31">
        <f t="shared" si="30"/>
        <v>0</v>
      </c>
      <c r="Q372" s="32">
        <f>5*4+40</f>
        <v>60</v>
      </c>
      <c r="R372" s="124">
        <f t="shared" si="29"/>
        <v>60</v>
      </c>
      <c r="S372" s="7"/>
      <c r="T372" s="26"/>
    </row>
    <row r="373" spans="8:22">
      <c r="I373" s="27" t="s">
        <v>8</v>
      </c>
      <c r="J373" s="30" t="s">
        <v>29</v>
      </c>
      <c r="K373" s="35"/>
      <c r="L373" s="21"/>
      <c r="M373" s="36">
        <v>7</v>
      </c>
      <c r="N373" s="21">
        <v>0</v>
      </c>
      <c r="O373" s="36"/>
      <c r="P373" s="31">
        <f t="shared" si="30"/>
        <v>0</v>
      </c>
      <c r="Q373" s="32"/>
      <c r="R373" s="124">
        <v>9.9999999999999992E-72</v>
      </c>
      <c r="S373" s="7"/>
      <c r="T373" s="26"/>
    </row>
    <row r="374" spans="8:22">
      <c r="I374" s="27" t="s">
        <v>63</v>
      </c>
      <c r="J374" s="30" t="s">
        <v>33</v>
      </c>
      <c r="K374" s="35"/>
      <c r="L374" s="21"/>
      <c r="M374" s="36">
        <v>15</v>
      </c>
      <c r="N374" s="21">
        <v>0</v>
      </c>
      <c r="O374" s="36"/>
      <c r="P374" s="31">
        <f t="shared" si="30"/>
        <v>0</v>
      </c>
      <c r="Q374" s="32">
        <v>10</v>
      </c>
      <c r="R374" s="124">
        <f t="shared" si="29"/>
        <v>10</v>
      </c>
      <c r="S374" s="7"/>
      <c r="T374" s="26"/>
    </row>
    <row r="375" spans="8:22">
      <c r="I375" s="27" t="s">
        <v>24</v>
      </c>
      <c r="J375" s="30" t="s">
        <v>30</v>
      </c>
      <c r="K375" s="18"/>
      <c r="L375" s="21">
        <v>0</v>
      </c>
      <c r="M375" s="20"/>
      <c r="N375" s="21">
        <v>0</v>
      </c>
      <c r="O375" s="36">
        <v>10</v>
      </c>
      <c r="P375" s="31">
        <f t="shared" si="30"/>
        <v>60</v>
      </c>
      <c r="Q375" s="32"/>
      <c r="R375" s="124">
        <f t="shared" si="29"/>
        <v>60</v>
      </c>
      <c r="S375" s="7"/>
      <c r="T375" s="26">
        <v>860</v>
      </c>
      <c r="U375">
        <v>111.8</v>
      </c>
      <c r="V375">
        <v>748.2</v>
      </c>
    </row>
    <row r="376" spans="8:22">
      <c r="I376" s="27" t="s">
        <v>18</v>
      </c>
      <c r="J376" s="28" t="s">
        <v>72</v>
      </c>
      <c r="K376" s="18"/>
      <c r="L376" s="21">
        <f>+K376*3</f>
        <v>0</v>
      </c>
      <c r="M376" s="20">
        <v>17</v>
      </c>
      <c r="N376" s="21">
        <f>+M376*3</f>
        <v>51</v>
      </c>
      <c r="O376" s="36"/>
      <c r="P376" s="31">
        <f t="shared" si="30"/>
        <v>0</v>
      </c>
      <c r="Q376" s="24"/>
      <c r="R376" s="124">
        <f t="shared" si="29"/>
        <v>51</v>
      </c>
      <c r="S376" s="7"/>
      <c r="T376" s="26">
        <f>+U376+V376</f>
        <v>827.58620689655174</v>
      </c>
      <c r="U376">
        <f>+U375*V376/V375</f>
        <v>107.58620689655172</v>
      </c>
      <c r="V376">
        <v>720</v>
      </c>
    </row>
    <row r="377" spans="8:22">
      <c r="H377" s="82" t="s">
        <v>84</v>
      </c>
      <c r="I377" s="83" t="s">
        <v>6</v>
      </c>
      <c r="J377" s="84" t="s">
        <v>99</v>
      </c>
      <c r="K377" s="85"/>
      <c r="L377" s="86">
        <f>+K377*3</f>
        <v>0</v>
      </c>
      <c r="M377" s="87"/>
      <c r="N377" s="86">
        <v>0</v>
      </c>
      <c r="O377" s="88"/>
      <c r="P377" s="89">
        <f t="shared" si="30"/>
        <v>0</v>
      </c>
      <c r="Q377" s="90"/>
      <c r="R377" s="135">
        <f t="shared" si="29"/>
        <v>0</v>
      </c>
      <c r="S377" s="7"/>
      <c r="T377" s="63">
        <f>+T375-T376</f>
        <v>32.413793103448256</v>
      </c>
    </row>
    <row r="378" spans="8:22">
      <c r="I378" s="27" t="s">
        <v>31</v>
      </c>
      <c r="J378" s="30" t="s">
        <v>32</v>
      </c>
      <c r="K378" s="35"/>
      <c r="L378" s="21"/>
      <c r="M378" s="36"/>
      <c r="N378" s="21"/>
      <c r="O378" s="36">
        <v>33</v>
      </c>
      <c r="P378" s="31">
        <f t="shared" si="30"/>
        <v>150</v>
      </c>
      <c r="Q378" s="32"/>
      <c r="R378" s="124">
        <f t="shared" si="29"/>
        <v>150</v>
      </c>
      <c r="S378" s="7"/>
      <c r="T378" s="26">
        <v>150</v>
      </c>
      <c r="U378" s="68">
        <f>+T378-T377</f>
        <v>117.58620689655174</v>
      </c>
    </row>
    <row r="379" spans="8:22">
      <c r="I379" s="27" t="s">
        <v>54</v>
      </c>
      <c r="J379" s="30" t="s">
        <v>55</v>
      </c>
      <c r="K379" s="18"/>
      <c r="L379" s="21">
        <f>+K379*3</f>
        <v>0</v>
      </c>
      <c r="M379" s="20"/>
      <c r="N379" s="21">
        <f>+M379*3</f>
        <v>0</v>
      </c>
      <c r="O379" s="36"/>
      <c r="P379" s="31">
        <f t="shared" si="30"/>
        <v>0</v>
      </c>
      <c r="Q379" s="32"/>
      <c r="R379" s="124">
        <f t="shared" si="29"/>
        <v>0</v>
      </c>
      <c r="S379" s="7"/>
      <c r="T379" s="26"/>
    </row>
    <row r="380" spans="8:22">
      <c r="I380" s="113" t="s">
        <v>10</v>
      </c>
      <c r="J380" s="114" t="s">
        <v>34</v>
      </c>
      <c r="K380" s="115"/>
      <c r="L380" s="116"/>
      <c r="M380" s="117"/>
      <c r="N380" s="116"/>
      <c r="O380" s="117">
        <v>29</v>
      </c>
      <c r="P380" s="31">
        <f t="shared" si="30"/>
        <v>150</v>
      </c>
      <c r="Q380" s="32"/>
      <c r="R380" s="131">
        <f t="shared" si="29"/>
        <v>150</v>
      </c>
      <c r="S380" s="7"/>
      <c r="T380" s="26">
        <v>828</v>
      </c>
      <c r="U380">
        <v>107.64</v>
      </c>
      <c r="V380">
        <v>720.36</v>
      </c>
    </row>
    <row r="381" spans="8:22">
      <c r="I381" s="113" t="s">
        <v>9</v>
      </c>
      <c r="J381" s="114" t="s">
        <v>35</v>
      </c>
      <c r="K381" s="115"/>
      <c r="L381" s="116"/>
      <c r="M381" s="117"/>
      <c r="N381" s="116"/>
      <c r="O381" s="117">
        <v>45</v>
      </c>
      <c r="P381" s="31">
        <f t="shared" si="30"/>
        <v>150</v>
      </c>
      <c r="Q381" s="32"/>
      <c r="R381" s="131">
        <f t="shared" si="29"/>
        <v>150</v>
      </c>
      <c r="S381" s="7"/>
      <c r="T381" s="26">
        <f>+U381+V381</f>
        <v>827.58620689655174</v>
      </c>
      <c r="U381">
        <f>+U380*V381/V380</f>
        <v>107.58620689655173</v>
      </c>
      <c r="V381">
        <v>720</v>
      </c>
    </row>
    <row r="382" spans="8:22">
      <c r="I382" s="27" t="s">
        <v>36</v>
      </c>
      <c r="J382" s="30" t="s">
        <v>37</v>
      </c>
      <c r="K382" s="35"/>
      <c r="L382" s="21"/>
      <c r="M382" s="36"/>
      <c r="N382" s="21"/>
      <c r="O382" s="36">
        <v>31</v>
      </c>
      <c r="P382" s="31">
        <f t="shared" si="30"/>
        <v>150</v>
      </c>
      <c r="Q382" s="32"/>
      <c r="R382" s="124">
        <f t="shared" si="29"/>
        <v>150</v>
      </c>
      <c r="S382" s="7"/>
      <c r="T382" s="63">
        <f>+T380-T381</f>
        <v>0.41379310344825626</v>
      </c>
    </row>
    <row r="383" spans="8:22">
      <c r="I383" s="27" t="s">
        <v>64</v>
      </c>
      <c r="J383" s="30" t="s">
        <v>65</v>
      </c>
      <c r="K383" s="35"/>
      <c r="L383" s="21"/>
      <c r="M383" s="36"/>
      <c r="N383" s="21"/>
      <c r="O383" s="36">
        <v>32</v>
      </c>
      <c r="P383" s="31">
        <f t="shared" si="30"/>
        <v>150</v>
      </c>
      <c r="Q383" s="32"/>
      <c r="R383" s="124">
        <f t="shared" si="29"/>
        <v>150</v>
      </c>
      <c r="S383" s="7"/>
      <c r="T383" s="26">
        <v>150</v>
      </c>
      <c r="U383" s="68">
        <f>+T383-T382</f>
        <v>149.58620689655174</v>
      </c>
    </row>
    <row r="384" spans="8:22">
      <c r="I384" s="27" t="s">
        <v>13</v>
      </c>
      <c r="J384" s="30" t="s">
        <v>38</v>
      </c>
      <c r="K384" s="35"/>
      <c r="L384" s="21"/>
      <c r="M384" s="36"/>
      <c r="N384" s="21"/>
      <c r="O384" s="36">
        <v>35</v>
      </c>
      <c r="P384" s="31">
        <f t="shared" si="30"/>
        <v>150</v>
      </c>
      <c r="Q384" s="32"/>
      <c r="R384" s="124">
        <f t="shared" si="29"/>
        <v>150</v>
      </c>
      <c r="S384" s="7"/>
      <c r="T384" s="26"/>
    </row>
    <row r="385" spans="8:22">
      <c r="I385" s="27" t="s">
        <v>39</v>
      </c>
      <c r="J385" s="30" t="s">
        <v>40</v>
      </c>
      <c r="K385" s="35"/>
      <c r="L385" s="21"/>
      <c r="M385" s="36"/>
      <c r="N385" s="21"/>
      <c r="O385" s="36"/>
      <c r="P385" s="31">
        <f t="shared" si="30"/>
        <v>0</v>
      </c>
      <c r="Q385" s="32"/>
      <c r="R385" s="124">
        <f t="shared" si="29"/>
        <v>0</v>
      </c>
      <c r="S385" s="7"/>
      <c r="T385" s="78"/>
    </row>
    <row r="386" spans="8:22">
      <c r="H386" s="82" t="s">
        <v>84</v>
      </c>
      <c r="I386" s="83" t="s">
        <v>19</v>
      </c>
      <c r="J386" s="84" t="s">
        <v>20</v>
      </c>
      <c r="K386" s="85"/>
      <c r="L386" s="86">
        <f>+K386*3</f>
        <v>0</v>
      </c>
      <c r="M386" s="87"/>
      <c r="N386" s="86">
        <v>0</v>
      </c>
      <c r="O386" s="88"/>
      <c r="P386" s="89">
        <f t="shared" si="30"/>
        <v>0</v>
      </c>
      <c r="Q386" s="90"/>
      <c r="R386" s="135">
        <f t="shared" si="29"/>
        <v>0</v>
      </c>
      <c r="S386" s="7"/>
      <c r="T386" s="26"/>
      <c r="V386">
        <f>+U389</f>
        <v>24</v>
      </c>
    </row>
    <row r="387" spans="8:22">
      <c r="I387" s="27" t="s">
        <v>41</v>
      </c>
      <c r="J387" s="30" t="s">
        <v>42</v>
      </c>
      <c r="K387" s="35"/>
      <c r="L387" s="21"/>
      <c r="M387" s="36"/>
      <c r="N387" s="21"/>
      <c r="O387" s="36">
        <v>37</v>
      </c>
      <c r="P387" s="31">
        <f t="shared" si="30"/>
        <v>150</v>
      </c>
      <c r="Q387" s="32"/>
      <c r="R387" s="124">
        <f t="shared" si="29"/>
        <v>150</v>
      </c>
      <c r="S387" s="7"/>
      <c r="T387" s="26"/>
      <c r="U387">
        <v>16</v>
      </c>
      <c r="V387">
        <v>6</v>
      </c>
    </row>
    <row r="388" spans="8:22">
      <c r="I388" s="27" t="s">
        <v>26</v>
      </c>
      <c r="J388" s="30" t="s">
        <v>48</v>
      </c>
      <c r="K388" s="18"/>
      <c r="L388" s="21">
        <v>0</v>
      </c>
      <c r="M388" s="20"/>
      <c r="N388" s="21">
        <v>0</v>
      </c>
      <c r="O388" s="36">
        <v>2</v>
      </c>
      <c r="P388" s="31">
        <f t="shared" si="30"/>
        <v>12</v>
      </c>
      <c r="Q388" s="32"/>
      <c r="R388" s="124">
        <f t="shared" si="29"/>
        <v>12</v>
      </c>
      <c r="S388" s="7"/>
      <c r="T388" s="26"/>
      <c r="U388">
        <v>8</v>
      </c>
      <c r="V388">
        <f>+V386*V387</f>
        <v>144</v>
      </c>
    </row>
    <row r="389" spans="8:22">
      <c r="I389" s="27" t="s">
        <v>67</v>
      </c>
      <c r="J389" s="28" t="s">
        <v>68</v>
      </c>
      <c r="K389" s="18"/>
      <c r="L389" s="21">
        <v>0</v>
      </c>
      <c r="M389" s="20"/>
      <c r="N389" s="21">
        <f>+M389*3</f>
        <v>0</v>
      </c>
      <c r="O389" s="22"/>
      <c r="P389" s="31">
        <f t="shared" si="30"/>
        <v>0</v>
      </c>
      <c r="Q389" s="24"/>
      <c r="R389" s="124">
        <f t="shared" si="29"/>
        <v>0</v>
      </c>
      <c r="S389" s="7"/>
      <c r="T389" s="26"/>
      <c r="U389">
        <f>+U388+U387+U386</f>
        <v>24</v>
      </c>
    </row>
    <row r="390" spans="8:22">
      <c r="I390" s="27" t="s">
        <v>21</v>
      </c>
      <c r="J390" s="28" t="s">
        <v>22</v>
      </c>
      <c r="K390" s="18"/>
      <c r="L390" s="21">
        <v>0</v>
      </c>
      <c r="M390" s="20"/>
      <c r="N390" s="21">
        <v>0</v>
      </c>
      <c r="O390" s="36">
        <v>32</v>
      </c>
      <c r="P390" s="31">
        <f t="shared" si="30"/>
        <v>150</v>
      </c>
      <c r="Q390" s="24">
        <f>5*6</f>
        <v>30</v>
      </c>
      <c r="R390" s="124">
        <f t="shared" si="29"/>
        <v>180</v>
      </c>
      <c r="S390" s="7"/>
      <c r="T390" s="26"/>
    </row>
    <row r="391" spans="8:22">
      <c r="I391" s="27" t="s">
        <v>43</v>
      </c>
      <c r="J391" s="28" t="s">
        <v>73</v>
      </c>
      <c r="K391" s="18"/>
      <c r="L391" s="21">
        <v>0</v>
      </c>
      <c r="M391" s="20"/>
      <c r="N391" s="21">
        <f>+M391*3</f>
        <v>0</v>
      </c>
      <c r="O391" s="36">
        <v>42</v>
      </c>
      <c r="P391" s="31">
        <f t="shared" si="30"/>
        <v>150</v>
      </c>
      <c r="Q391" s="24"/>
      <c r="R391" s="124">
        <f t="shared" si="29"/>
        <v>150</v>
      </c>
      <c r="S391" s="7"/>
      <c r="T391" s="26"/>
    </row>
    <row r="392" spans="8:22">
      <c r="I392" s="27" t="s">
        <v>44</v>
      </c>
      <c r="J392" s="30" t="s">
        <v>45</v>
      </c>
      <c r="K392" s="27"/>
      <c r="L392" s="21">
        <f>+K392*3</f>
        <v>0</v>
      </c>
      <c r="M392" s="36"/>
      <c r="N392" s="21">
        <v>0</v>
      </c>
      <c r="O392" s="36">
        <v>2</v>
      </c>
      <c r="P392" s="31">
        <f t="shared" si="30"/>
        <v>12</v>
      </c>
      <c r="Q392" s="32"/>
      <c r="R392" s="124">
        <f>+L392+N392+P392+Q392</f>
        <v>12</v>
      </c>
      <c r="S392" s="130"/>
      <c r="T392" s="26"/>
    </row>
    <row r="393" spans="8:22">
      <c r="I393" s="113" t="s">
        <v>14</v>
      </c>
      <c r="J393" s="114" t="s">
        <v>66</v>
      </c>
      <c r="K393" s="120"/>
      <c r="L393" s="116">
        <f>+K393*3</f>
        <v>0</v>
      </c>
      <c r="M393" s="121">
        <v>14</v>
      </c>
      <c r="N393" s="116">
        <v>0</v>
      </c>
      <c r="O393" s="117">
        <v>1</v>
      </c>
      <c r="P393" s="31">
        <f t="shared" si="30"/>
        <v>6</v>
      </c>
      <c r="Q393" s="32">
        <f>10+40</f>
        <v>50</v>
      </c>
      <c r="R393" s="131">
        <f>+L393+N393+P393+Q393</f>
        <v>56</v>
      </c>
      <c r="S393" s="7"/>
      <c r="T393" s="26"/>
    </row>
    <row r="394" spans="8:22">
      <c r="I394" s="27" t="s">
        <v>15</v>
      </c>
      <c r="J394" s="28" t="s">
        <v>16</v>
      </c>
      <c r="K394" s="18"/>
      <c r="L394" s="21">
        <f>+K394*3</f>
        <v>0</v>
      </c>
      <c r="M394" s="20">
        <v>20</v>
      </c>
      <c r="N394" s="21">
        <f>+M394*3</f>
        <v>60</v>
      </c>
      <c r="O394" s="36"/>
      <c r="P394" s="23">
        <f t="shared" si="30"/>
        <v>0</v>
      </c>
      <c r="Q394" s="24">
        <f>5*5</f>
        <v>25</v>
      </c>
      <c r="R394" s="124">
        <f>+L394+N394+P394+Q394</f>
        <v>85</v>
      </c>
      <c r="S394" s="7"/>
      <c r="T394" s="26"/>
    </row>
    <row r="395" spans="8:22">
      <c r="I395" s="27" t="s">
        <v>17</v>
      </c>
      <c r="J395" s="30" t="s">
        <v>119</v>
      </c>
      <c r="K395" s="35"/>
      <c r="L395" s="21"/>
      <c r="M395" s="36">
        <v>13</v>
      </c>
      <c r="N395" s="21">
        <v>0</v>
      </c>
      <c r="O395" s="36"/>
      <c r="P395" s="31">
        <f t="shared" si="30"/>
        <v>0</v>
      </c>
      <c r="Q395" s="32">
        <f>5*5</f>
        <v>25</v>
      </c>
      <c r="R395" s="124">
        <f>+L395+N395+P395+Q395</f>
        <v>25</v>
      </c>
      <c r="S395" s="130"/>
      <c r="T395" s="26"/>
    </row>
    <row r="396" spans="8:22">
      <c r="I396" s="113" t="s">
        <v>75</v>
      </c>
      <c r="J396" s="114" t="s">
        <v>76</v>
      </c>
      <c r="K396" s="115"/>
      <c r="L396" s="116"/>
      <c r="M396" s="117"/>
      <c r="N396" s="116"/>
      <c r="O396" s="117">
        <v>27</v>
      </c>
      <c r="P396" s="31">
        <f t="shared" si="30"/>
        <v>150</v>
      </c>
      <c r="Q396" s="32"/>
      <c r="R396" s="131">
        <f>+L396+N396+P396+Q396</f>
        <v>150</v>
      </c>
      <c r="S396" s="130"/>
      <c r="T396" s="26"/>
    </row>
    <row r="397" spans="8:22">
      <c r="I397" s="113" t="s">
        <v>69</v>
      </c>
      <c r="J397" s="114" t="s">
        <v>70</v>
      </c>
      <c r="K397" s="115"/>
      <c r="L397" s="116">
        <v>0</v>
      </c>
      <c r="M397" s="117"/>
      <c r="N397" s="116">
        <f>+M397*3</f>
        <v>0</v>
      </c>
      <c r="O397" s="117">
        <v>31</v>
      </c>
      <c r="P397" s="31">
        <f t="shared" si="30"/>
        <v>150</v>
      </c>
      <c r="Q397" s="32"/>
      <c r="R397" s="131">
        <f t="shared" ref="R397:R402" si="31">+L397+N397+P397+Q397</f>
        <v>150</v>
      </c>
      <c r="S397" s="130"/>
      <c r="T397" s="26"/>
    </row>
    <row r="398" spans="8:22">
      <c r="I398" s="27" t="s">
        <v>91</v>
      </c>
      <c r="J398" s="30" t="s">
        <v>92</v>
      </c>
      <c r="K398" s="35"/>
      <c r="L398" s="21">
        <v>0</v>
      </c>
      <c r="M398" s="36"/>
      <c r="N398" s="21">
        <v>0</v>
      </c>
      <c r="O398" s="36">
        <v>31</v>
      </c>
      <c r="P398" s="31">
        <f t="shared" si="30"/>
        <v>150</v>
      </c>
      <c r="Q398" s="32"/>
      <c r="R398" s="124">
        <f t="shared" si="31"/>
        <v>150</v>
      </c>
      <c r="S398" s="130"/>
      <c r="T398" s="26"/>
    </row>
    <row r="399" spans="8:22">
      <c r="I399" s="27" t="s">
        <v>93</v>
      </c>
      <c r="J399" s="28" t="s">
        <v>94</v>
      </c>
      <c r="K399" s="18"/>
      <c r="L399" s="21">
        <v>0</v>
      </c>
      <c r="M399" s="20">
        <v>15</v>
      </c>
      <c r="N399" s="21">
        <v>0</v>
      </c>
      <c r="O399" s="36"/>
      <c r="P399" s="31">
        <f t="shared" si="30"/>
        <v>0</v>
      </c>
      <c r="Q399" s="24">
        <f>5*4</f>
        <v>20</v>
      </c>
      <c r="R399" s="124">
        <f t="shared" si="31"/>
        <v>20</v>
      </c>
      <c r="S399" s="7"/>
      <c r="T399" s="26"/>
    </row>
    <row r="400" spans="8:22">
      <c r="I400" s="27" t="s">
        <v>120</v>
      </c>
      <c r="J400" s="28" t="s">
        <v>121</v>
      </c>
      <c r="K400" s="18"/>
      <c r="L400" s="21">
        <v>0</v>
      </c>
      <c r="M400" s="20">
        <v>11</v>
      </c>
      <c r="N400" s="21">
        <v>0</v>
      </c>
      <c r="O400" s="36">
        <v>1</v>
      </c>
      <c r="P400" s="31">
        <f t="shared" si="30"/>
        <v>6</v>
      </c>
      <c r="Q400" s="24">
        <f>10+40</f>
        <v>50</v>
      </c>
      <c r="R400" s="124">
        <f>+L400+N400+P400+Q400</f>
        <v>56</v>
      </c>
      <c r="S400" s="7"/>
      <c r="T400" s="26"/>
    </row>
    <row r="401" spans="9:22">
      <c r="I401" s="38" t="s">
        <v>125</v>
      </c>
      <c r="J401" s="50" t="s">
        <v>126</v>
      </c>
      <c r="K401" s="51"/>
      <c r="L401" s="52">
        <v>0</v>
      </c>
      <c r="M401" s="53">
        <v>16</v>
      </c>
      <c r="N401" s="52">
        <v>0</v>
      </c>
      <c r="O401" s="79"/>
      <c r="P401" s="54">
        <f t="shared" si="30"/>
        <v>0</v>
      </c>
      <c r="Q401" s="55">
        <v>10</v>
      </c>
      <c r="R401" s="132">
        <f t="shared" si="31"/>
        <v>10</v>
      </c>
      <c r="S401" s="7"/>
      <c r="T401" s="26"/>
    </row>
    <row r="402" spans="9:22">
      <c r="I402" s="41"/>
      <c r="J402" s="42"/>
      <c r="K402" s="65">
        <f t="shared" ref="K402:Q402" si="32">SUM(K366:K401)</f>
        <v>0</v>
      </c>
      <c r="L402" s="66">
        <f t="shared" si="32"/>
        <v>0</v>
      </c>
      <c r="M402" s="56">
        <f t="shared" si="32"/>
        <v>188</v>
      </c>
      <c r="N402" s="58">
        <f t="shared" si="32"/>
        <v>166</v>
      </c>
      <c r="O402" s="56">
        <f t="shared" si="32"/>
        <v>458</v>
      </c>
      <c r="P402" s="58">
        <f t="shared" si="32"/>
        <v>2046</v>
      </c>
      <c r="Q402" s="58">
        <f t="shared" si="32"/>
        <v>375</v>
      </c>
      <c r="R402" s="57">
        <f t="shared" si="31"/>
        <v>2587</v>
      </c>
      <c r="S402" s="133"/>
      <c r="T402" s="26"/>
    </row>
    <row r="403" spans="9:22">
      <c r="N403" s="110" t="s">
        <v>105</v>
      </c>
      <c r="O403" s="1">
        <v>62</v>
      </c>
    </row>
    <row r="404" spans="9:22">
      <c r="N404" s="111" t="s">
        <v>106</v>
      </c>
      <c r="O404" s="112">
        <f>+O403+O402</f>
        <v>520</v>
      </c>
      <c r="R404" s="136">
        <f>+R402-R401</f>
        <v>2577</v>
      </c>
    </row>
    <row r="406" spans="9:22">
      <c r="I406" s="418" t="s">
        <v>127</v>
      </c>
      <c r="J406" s="418"/>
      <c r="K406" s="418"/>
      <c r="L406" s="418"/>
      <c r="M406" s="418"/>
      <c r="N406" s="418"/>
      <c r="O406" s="418"/>
      <c r="P406" s="418"/>
      <c r="Q406" s="418"/>
      <c r="R406" s="418"/>
      <c r="T406" s="43"/>
    </row>
    <row r="407" spans="9:22">
      <c r="I407" s="11"/>
      <c r="J407" s="11"/>
      <c r="K407" s="428" t="s">
        <v>58</v>
      </c>
      <c r="L407" s="429"/>
      <c r="M407" s="429"/>
      <c r="N407" s="430"/>
      <c r="O407" s="428" t="s">
        <v>59</v>
      </c>
      <c r="P407" s="430"/>
      <c r="Q407" s="11"/>
      <c r="R407" s="11"/>
      <c r="T407" s="43"/>
    </row>
    <row r="408" spans="9:22" ht="40.5">
      <c r="I408" s="12" t="s">
        <v>11</v>
      </c>
      <c r="J408" s="12" t="s">
        <v>3</v>
      </c>
      <c r="K408" s="64" t="s">
        <v>23</v>
      </c>
      <c r="L408" s="64" t="s">
        <v>77</v>
      </c>
      <c r="M408" s="13" t="s">
        <v>23</v>
      </c>
      <c r="N408" s="13" t="s">
        <v>128</v>
      </c>
      <c r="O408" s="13" t="s">
        <v>23</v>
      </c>
      <c r="P408" s="13" t="s">
        <v>129</v>
      </c>
      <c r="Q408" s="13" t="s">
        <v>130</v>
      </c>
      <c r="R408" s="14" t="s">
        <v>60</v>
      </c>
      <c r="S408" s="7"/>
      <c r="T408" s="43"/>
    </row>
    <row r="409" spans="9:22">
      <c r="I409" s="16" t="s">
        <v>61</v>
      </c>
      <c r="J409" s="17" t="s">
        <v>62</v>
      </c>
      <c r="K409" s="18"/>
      <c r="L409" s="19">
        <f>+K409*3</f>
        <v>0</v>
      </c>
      <c r="M409" s="20">
        <v>11</v>
      </c>
      <c r="N409" s="21">
        <f>+M409*3</f>
        <v>33</v>
      </c>
      <c r="O409" s="22"/>
      <c r="P409" s="23"/>
      <c r="Q409" s="24"/>
      <c r="R409" s="134">
        <f>+L409+N409+P409+Q409</f>
        <v>33</v>
      </c>
      <c r="S409" s="7"/>
      <c r="T409" s="26"/>
    </row>
    <row r="410" spans="9:22">
      <c r="I410" s="27" t="s">
        <v>4</v>
      </c>
      <c r="J410" s="28" t="s">
        <v>12</v>
      </c>
      <c r="K410" s="18"/>
      <c r="L410" s="21">
        <f>+K410*3</f>
        <v>0</v>
      </c>
      <c r="M410" s="20"/>
      <c r="N410" s="21">
        <f t="shared" ref="N410:N443" si="33">+M410*3</f>
        <v>0</v>
      </c>
      <c r="O410" s="22"/>
      <c r="P410" s="23"/>
      <c r="Q410" s="24"/>
      <c r="R410" s="124">
        <f t="shared" ref="R410:R434" si="34">+L410+N410+P410+Q410</f>
        <v>0</v>
      </c>
      <c r="S410" s="7"/>
    </row>
    <row r="411" spans="9:22">
      <c r="I411" s="27" t="s">
        <v>1</v>
      </c>
      <c r="J411" s="30" t="s">
        <v>56</v>
      </c>
      <c r="K411" s="18"/>
      <c r="L411" s="21">
        <f>+K411*3</f>
        <v>0</v>
      </c>
      <c r="M411" s="20">
        <v>17</v>
      </c>
      <c r="N411" s="21">
        <f>+M411*5</f>
        <v>85</v>
      </c>
      <c r="O411" s="36"/>
      <c r="P411" s="31">
        <f>IF(O411&gt;25,150,(O411)*6)</f>
        <v>0</v>
      </c>
      <c r="Q411" s="32"/>
      <c r="R411" s="124">
        <f t="shared" si="34"/>
        <v>85</v>
      </c>
      <c r="S411" s="7"/>
      <c r="T411" s="26"/>
      <c r="U411" s="426">
        <v>43180</v>
      </c>
      <c r="V411" s="427"/>
    </row>
    <row r="412" spans="9:22">
      <c r="I412" s="113" t="s">
        <v>2</v>
      </c>
      <c r="J412" s="114" t="s">
        <v>47</v>
      </c>
      <c r="K412" s="115"/>
      <c r="L412" s="116"/>
      <c r="M412" s="117"/>
      <c r="N412" s="21">
        <f t="shared" si="33"/>
        <v>0</v>
      </c>
      <c r="O412" s="117">
        <v>37</v>
      </c>
      <c r="P412" s="31">
        <f>IF(O412&gt;25,150,(O412)*6)</f>
        <v>150</v>
      </c>
      <c r="Q412" s="32"/>
      <c r="R412" s="131">
        <f t="shared" si="34"/>
        <v>150</v>
      </c>
      <c r="S412" s="7"/>
      <c r="T412" s="26"/>
    </row>
    <row r="413" spans="9:22">
      <c r="I413" s="27" t="s">
        <v>0</v>
      </c>
      <c r="J413" s="28" t="s">
        <v>7</v>
      </c>
      <c r="K413" s="18"/>
      <c r="L413" s="21">
        <f>+K413*5</f>
        <v>0</v>
      </c>
      <c r="M413" s="20">
        <v>2</v>
      </c>
      <c r="N413" s="21">
        <f>5*M413</f>
        <v>10</v>
      </c>
      <c r="O413" s="22"/>
      <c r="P413" s="23">
        <v>0</v>
      </c>
      <c r="Q413" s="24"/>
      <c r="R413" s="124">
        <f t="shared" si="34"/>
        <v>10</v>
      </c>
      <c r="S413" s="7"/>
      <c r="T413" s="26"/>
    </row>
    <row r="414" spans="9:22">
      <c r="I414" s="27" t="s">
        <v>5</v>
      </c>
      <c r="J414" s="30" t="s">
        <v>71</v>
      </c>
      <c r="K414" s="18"/>
      <c r="L414" s="21">
        <f>+K414*3</f>
        <v>0</v>
      </c>
      <c r="M414" s="36">
        <v>15</v>
      </c>
      <c r="N414" s="21">
        <f>+M414*5</f>
        <v>75</v>
      </c>
      <c r="O414" s="36"/>
      <c r="P414" s="31">
        <f t="shared" ref="P414:P444" si="35">IF(O414&gt;25,150,(O414)*6)</f>
        <v>0</v>
      </c>
      <c r="Q414" s="32"/>
      <c r="R414" s="131">
        <f t="shared" si="34"/>
        <v>75</v>
      </c>
      <c r="S414" s="7"/>
      <c r="T414" s="26"/>
    </row>
    <row r="415" spans="9:22">
      <c r="I415" s="27" t="s">
        <v>27</v>
      </c>
      <c r="J415" s="30" t="s">
        <v>28</v>
      </c>
      <c r="K415" s="18"/>
      <c r="L415" s="21">
        <v>0</v>
      </c>
      <c r="M415" s="36">
        <v>15</v>
      </c>
      <c r="N415" s="21">
        <f>+M415*5</f>
        <v>75</v>
      </c>
      <c r="O415" s="36"/>
      <c r="P415" s="31">
        <f t="shared" si="35"/>
        <v>0</v>
      </c>
      <c r="Q415" s="32"/>
      <c r="R415" s="131">
        <f t="shared" si="34"/>
        <v>75</v>
      </c>
      <c r="S415" s="7"/>
      <c r="T415" s="26"/>
    </row>
    <row r="416" spans="9:22">
      <c r="I416" s="27" t="s">
        <v>8</v>
      </c>
      <c r="J416" s="30" t="s">
        <v>29</v>
      </c>
      <c r="K416" s="35"/>
      <c r="L416" s="21"/>
      <c r="M416" s="36">
        <v>15</v>
      </c>
      <c r="N416" s="21">
        <f>+M416*5</f>
        <v>75</v>
      </c>
      <c r="O416" s="36"/>
      <c r="P416" s="31">
        <f t="shared" si="35"/>
        <v>0</v>
      </c>
      <c r="Q416" s="32"/>
      <c r="R416" s="131">
        <f t="shared" si="34"/>
        <v>75</v>
      </c>
      <c r="S416" s="7"/>
      <c r="T416" s="26"/>
    </row>
    <row r="417" spans="8:22">
      <c r="I417" s="27" t="s">
        <v>63</v>
      </c>
      <c r="J417" s="30" t="s">
        <v>33</v>
      </c>
      <c r="K417" s="35"/>
      <c r="L417" s="21"/>
      <c r="M417" s="36">
        <v>13</v>
      </c>
      <c r="N417" s="21">
        <f t="shared" si="33"/>
        <v>39</v>
      </c>
      <c r="O417" s="36"/>
      <c r="P417" s="31">
        <f t="shared" si="35"/>
        <v>0</v>
      </c>
      <c r="Q417" s="32"/>
      <c r="R417" s="131">
        <f t="shared" si="34"/>
        <v>39</v>
      </c>
      <c r="S417" s="7"/>
      <c r="T417" s="26"/>
    </row>
    <row r="418" spans="8:22">
      <c r="I418" s="27" t="s">
        <v>24</v>
      </c>
      <c r="J418" s="30" t="s">
        <v>30</v>
      </c>
      <c r="K418" s="18"/>
      <c r="L418" s="21">
        <v>0</v>
      </c>
      <c r="M418" s="20"/>
      <c r="N418" s="21">
        <f t="shared" si="33"/>
        <v>0</v>
      </c>
      <c r="O418" s="36"/>
      <c r="P418" s="31">
        <f t="shared" si="35"/>
        <v>0</v>
      </c>
      <c r="Q418" s="32"/>
      <c r="R418" s="124">
        <f t="shared" si="34"/>
        <v>0</v>
      </c>
      <c r="S418" s="7"/>
      <c r="T418" s="137">
        <v>860</v>
      </c>
      <c r="U418" s="138">
        <v>111.8</v>
      </c>
      <c r="V418" s="139">
        <v>748.2</v>
      </c>
    </row>
    <row r="419" spans="8:22">
      <c r="I419" s="27" t="s">
        <v>18</v>
      </c>
      <c r="J419" s="28" t="s">
        <v>72</v>
      </c>
      <c r="K419" s="18"/>
      <c r="L419" s="21">
        <f>+K419*3</f>
        <v>0</v>
      </c>
      <c r="M419" s="20">
        <v>18</v>
      </c>
      <c r="N419" s="21">
        <f>+M419*6</f>
        <v>108</v>
      </c>
      <c r="O419" s="36"/>
      <c r="P419" s="31">
        <f t="shared" si="35"/>
        <v>0</v>
      </c>
      <c r="Q419" s="24"/>
      <c r="R419" s="124">
        <f t="shared" si="34"/>
        <v>108</v>
      </c>
      <c r="S419" s="7"/>
      <c r="T419" s="140">
        <f>+U419+V419</f>
        <v>827.58620689655174</v>
      </c>
      <c r="U419" s="5">
        <f>+U418*V419/V418</f>
        <v>107.58620689655172</v>
      </c>
      <c r="V419" s="141">
        <v>720</v>
      </c>
    </row>
    <row r="420" spans="8:22">
      <c r="H420" s="82" t="s">
        <v>84</v>
      </c>
      <c r="I420" s="83" t="s">
        <v>6</v>
      </c>
      <c r="J420" s="84" t="s">
        <v>99</v>
      </c>
      <c r="K420" s="85"/>
      <c r="L420" s="86">
        <f>+K420*3</f>
        <v>0</v>
      </c>
      <c r="M420" s="87"/>
      <c r="N420" s="86">
        <f t="shared" si="33"/>
        <v>0</v>
      </c>
      <c r="O420" s="88"/>
      <c r="P420" s="89">
        <f t="shared" si="35"/>
        <v>0</v>
      </c>
      <c r="Q420" s="90"/>
      <c r="R420" s="135">
        <f t="shared" si="34"/>
        <v>0</v>
      </c>
      <c r="S420" s="7"/>
      <c r="T420" s="142">
        <f>+T418-T419</f>
        <v>32.413793103448256</v>
      </c>
      <c r="U420" s="5"/>
      <c r="V420" s="143"/>
    </row>
    <row r="421" spans="8:22">
      <c r="I421" s="27" t="s">
        <v>31</v>
      </c>
      <c r="J421" s="30" t="s">
        <v>32</v>
      </c>
      <c r="K421" s="35"/>
      <c r="L421" s="21"/>
      <c r="M421" s="36"/>
      <c r="N421" s="21">
        <f t="shared" si="33"/>
        <v>0</v>
      </c>
      <c r="O421" s="36">
        <v>31</v>
      </c>
      <c r="P421" s="31">
        <f t="shared" si="35"/>
        <v>150</v>
      </c>
      <c r="Q421" s="32"/>
      <c r="R421" s="124">
        <f t="shared" si="34"/>
        <v>150</v>
      </c>
      <c r="S421" s="7"/>
      <c r="T421" s="144">
        <v>150</v>
      </c>
      <c r="U421" s="145">
        <f>+T421-T420</f>
        <v>117.58620689655174</v>
      </c>
      <c r="V421" s="8"/>
    </row>
    <row r="422" spans="8:22">
      <c r="I422" s="27" t="s">
        <v>54</v>
      </c>
      <c r="J422" s="30" t="s">
        <v>55</v>
      </c>
      <c r="K422" s="18"/>
      <c r="L422" s="21">
        <f>+K422*3</f>
        <v>0</v>
      </c>
      <c r="M422" s="20"/>
      <c r="N422" s="21">
        <f t="shared" si="33"/>
        <v>0</v>
      </c>
      <c r="O422" s="36"/>
      <c r="P422" s="31">
        <f t="shared" si="35"/>
        <v>0</v>
      </c>
      <c r="Q422" s="32"/>
      <c r="R422" s="124">
        <f t="shared" si="34"/>
        <v>0</v>
      </c>
      <c r="S422" s="7"/>
      <c r="T422" s="26"/>
    </row>
    <row r="423" spans="8:22">
      <c r="I423" s="113" t="s">
        <v>10</v>
      </c>
      <c r="J423" s="114" t="s">
        <v>34</v>
      </c>
      <c r="K423" s="115"/>
      <c r="L423" s="116"/>
      <c r="M423" s="117"/>
      <c r="N423" s="116">
        <f t="shared" si="33"/>
        <v>0</v>
      </c>
      <c r="O423" s="117">
        <v>28</v>
      </c>
      <c r="P423" s="31">
        <f t="shared" si="35"/>
        <v>150</v>
      </c>
      <c r="Q423" s="32"/>
      <c r="R423" s="131">
        <f t="shared" si="34"/>
        <v>150</v>
      </c>
      <c r="S423" s="7"/>
      <c r="T423" s="137">
        <v>828</v>
      </c>
      <c r="U423" s="138">
        <v>107.64</v>
      </c>
      <c r="V423" s="139">
        <v>720.36</v>
      </c>
    </row>
    <row r="424" spans="8:22">
      <c r="I424" s="113" t="s">
        <v>9</v>
      </c>
      <c r="J424" s="114" t="s">
        <v>35</v>
      </c>
      <c r="K424" s="115"/>
      <c r="L424" s="116"/>
      <c r="M424" s="117"/>
      <c r="N424" s="116">
        <f t="shared" si="33"/>
        <v>0</v>
      </c>
      <c r="O424" s="117">
        <v>40</v>
      </c>
      <c r="P424" s="31">
        <f t="shared" si="35"/>
        <v>150</v>
      </c>
      <c r="Q424" s="32"/>
      <c r="R424" s="131">
        <f t="shared" si="34"/>
        <v>150</v>
      </c>
      <c r="S424" s="7"/>
      <c r="T424" s="140">
        <f>+U424+V424</f>
        <v>827.58620689655174</v>
      </c>
      <c r="U424" s="5">
        <f>+U423*V424/V423</f>
        <v>107.58620689655173</v>
      </c>
      <c r="V424" s="141">
        <v>720</v>
      </c>
    </row>
    <row r="425" spans="8:22">
      <c r="I425" s="27" t="s">
        <v>36</v>
      </c>
      <c r="J425" s="30" t="s">
        <v>37</v>
      </c>
      <c r="K425" s="35"/>
      <c r="L425" s="21"/>
      <c r="M425" s="36"/>
      <c r="N425" s="21">
        <f t="shared" si="33"/>
        <v>0</v>
      </c>
      <c r="O425" s="36">
        <v>1</v>
      </c>
      <c r="P425" s="31">
        <f t="shared" si="35"/>
        <v>6</v>
      </c>
      <c r="Q425" s="32"/>
      <c r="R425" s="124">
        <f t="shared" si="34"/>
        <v>6</v>
      </c>
      <c r="S425" s="7"/>
      <c r="T425" s="142">
        <f>+T423-T424</f>
        <v>0.41379310344825626</v>
      </c>
      <c r="U425" s="5"/>
      <c r="V425" s="143"/>
    </row>
    <row r="426" spans="8:22">
      <c r="I426" s="27" t="s">
        <v>64</v>
      </c>
      <c r="J426" s="30" t="s">
        <v>65</v>
      </c>
      <c r="K426" s="35"/>
      <c r="L426" s="21"/>
      <c r="M426" s="36"/>
      <c r="N426" s="21">
        <f t="shared" si="33"/>
        <v>0</v>
      </c>
      <c r="O426" s="36">
        <v>29</v>
      </c>
      <c r="P426" s="31">
        <f t="shared" si="35"/>
        <v>150</v>
      </c>
      <c r="Q426" s="32"/>
      <c r="R426" s="124">
        <f t="shared" si="34"/>
        <v>150</v>
      </c>
      <c r="S426" s="7"/>
      <c r="T426" s="144">
        <v>150</v>
      </c>
      <c r="U426" s="145">
        <f>+T426-T425</f>
        <v>149.58620689655174</v>
      </c>
      <c r="V426" s="8"/>
    </row>
    <row r="427" spans="8:22">
      <c r="I427" s="27" t="s">
        <v>13</v>
      </c>
      <c r="J427" s="30" t="s">
        <v>38</v>
      </c>
      <c r="K427" s="35"/>
      <c r="L427" s="21"/>
      <c r="M427" s="36"/>
      <c r="N427" s="21">
        <f t="shared" si="33"/>
        <v>0</v>
      </c>
      <c r="O427" s="36">
        <v>37</v>
      </c>
      <c r="P427" s="31">
        <f t="shared" si="35"/>
        <v>150</v>
      </c>
      <c r="Q427" s="32"/>
      <c r="R427" s="124">
        <f t="shared" si="34"/>
        <v>150</v>
      </c>
      <c r="S427" s="7"/>
      <c r="T427" s="26"/>
    </row>
    <row r="428" spans="8:22">
      <c r="I428" s="27" t="s">
        <v>39</v>
      </c>
      <c r="J428" s="30" t="s">
        <v>40</v>
      </c>
      <c r="K428" s="35"/>
      <c r="L428" s="21"/>
      <c r="M428" s="36"/>
      <c r="N428" s="21">
        <f t="shared" si="33"/>
        <v>0</v>
      </c>
      <c r="O428" s="36"/>
      <c r="P428" s="31">
        <f t="shared" si="35"/>
        <v>0</v>
      </c>
      <c r="Q428" s="32"/>
      <c r="R428" s="124">
        <f t="shared" si="34"/>
        <v>0</v>
      </c>
      <c r="S428" s="7"/>
      <c r="T428" s="78"/>
    </row>
    <row r="429" spans="8:22">
      <c r="H429" s="82" t="s">
        <v>84</v>
      </c>
      <c r="I429" s="83" t="s">
        <v>19</v>
      </c>
      <c r="J429" s="84" t="s">
        <v>20</v>
      </c>
      <c r="K429" s="85"/>
      <c r="L429" s="86">
        <f>+K429*3</f>
        <v>0</v>
      </c>
      <c r="M429" s="87"/>
      <c r="N429" s="86">
        <f t="shared" si="33"/>
        <v>0</v>
      </c>
      <c r="O429" s="88"/>
      <c r="P429" s="89">
        <f t="shared" si="35"/>
        <v>0</v>
      </c>
      <c r="Q429" s="90"/>
      <c r="R429" s="135">
        <f t="shared" si="34"/>
        <v>0</v>
      </c>
      <c r="S429" s="7"/>
      <c r="T429" s="26"/>
      <c r="V429">
        <f>+U432</f>
        <v>24</v>
      </c>
    </row>
    <row r="430" spans="8:22">
      <c r="I430" s="27" t="s">
        <v>41</v>
      </c>
      <c r="J430" s="30" t="s">
        <v>42</v>
      </c>
      <c r="K430" s="35"/>
      <c r="L430" s="21"/>
      <c r="M430" s="36"/>
      <c r="N430" s="21">
        <f t="shared" si="33"/>
        <v>0</v>
      </c>
      <c r="O430" s="36">
        <v>41</v>
      </c>
      <c r="P430" s="31">
        <f t="shared" si="35"/>
        <v>150</v>
      </c>
      <c r="Q430" s="32"/>
      <c r="R430" s="124">
        <f t="shared" si="34"/>
        <v>150</v>
      </c>
      <c r="S430" s="7"/>
      <c r="T430" s="26"/>
      <c r="U430">
        <v>16</v>
      </c>
      <c r="V430">
        <v>6</v>
      </c>
    </row>
    <row r="431" spans="8:22">
      <c r="I431" s="27" t="s">
        <v>26</v>
      </c>
      <c r="J431" s="30" t="s">
        <v>48</v>
      </c>
      <c r="K431" s="18"/>
      <c r="L431" s="21">
        <v>0</v>
      </c>
      <c r="M431" s="20"/>
      <c r="N431" s="21">
        <f t="shared" si="33"/>
        <v>0</v>
      </c>
      <c r="O431" s="36">
        <v>26</v>
      </c>
      <c r="P431" s="31">
        <f t="shared" si="35"/>
        <v>150</v>
      </c>
      <c r="Q431" s="32"/>
      <c r="R431" s="124">
        <f t="shared" si="34"/>
        <v>150</v>
      </c>
      <c r="S431" s="7"/>
      <c r="T431" s="26"/>
      <c r="U431">
        <v>8</v>
      </c>
      <c r="V431">
        <f>+V429*V430</f>
        <v>144</v>
      </c>
    </row>
    <row r="432" spans="8:22">
      <c r="I432" s="27" t="s">
        <v>67</v>
      </c>
      <c r="J432" s="28" t="s">
        <v>68</v>
      </c>
      <c r="K432" s="18"/>
      <c r="L432" s="21">
        <v>0</v>
      </c>
      <c r="M432" s="20"/>
      <c r="N432" s="21">
        <f t="shared" si="33"/>
        <v>0</v>
      </c>
      <c r="O432" s="22"/>
      <c r="P432" s="31">
        <f t="shared" si="35"/>
        <v>0</v>
      </c>
      <c r="Q432" s="24"/>
      <c r="R432" s="124">
        <f t="shared" si="34"/>
        <v>0</v>
      </c>
      <c r="S432" s="7"/>
      <c r="T432" s="26"/>
      <c r="U432">
        <f>+U431+U430+U429</f>
        <v>24</v>
      </c>
    </row>
    <row r="433" spans="9:21">
      <c r="I433" s="27" t="s">
        <v>21</v>
      </c>
      <c r="J433" s="28" t="s">
        <v>22</v>
      </c>
      <c r="K433" s="18"/>
      <c r="L433" s="21">
        <v>0</v>
      </c>
      <c r="M433" s="20"/>
      <c r="N433" s="21">
        <f t="shared" si="33"/>
        <v>0</v>
      </c>
      <c r="O433" s="36">
        <v>42</v>
      </c>
      <c r="P433" s="31">
        <f t="shared" si="35"/>
        <v>150</v>
      </c>
      <c r="Q433" s="24"/>
      <c r="R433" s="124">
        <f t="shared" si="34"/>
        <v>150</v>
      </c>
      <c r="S433" s="7"/>
      <c r="T433" s="26"/>
    </row>
    <row r="434" spans="9:21">
      <c r="I434" s="27" t="s">
        <v>43</v>
      </c>
      <c r="J434" s="28" t="s">
        <v>73</v>
      </c>
      <c r="K434" s="18"/>
      <c r="L434" s="21">
        <v>0</v>
      </c>
      <c r="M434" s="20"/>
      <c r="N434" s="21">
        <f t="shared" si="33"/>
        <v>0</v>
      </c>
      <c r="O434" s="36">
        <v>33</v>
      </c>
      <c r="P434" s="31">
        <f t="shared" si="35"/>
        <v>150</v>
      </c>
      <c r="Q434" s="24"/>
      <c r="R434" s="124">
        <f t="shared" si="34"/>
        <v>150</v>
      </c>
      <c r="S434" s="7"/>
      <c r="T434" s="26"/>
    </row>
    <row r="435" spans="9:21">
      <c r="I435" s="27" t="s">
        <v>44</v>
      </c>
      <c r="J435" s="30" t="s">
        <v>45</v>
      </c>
      <c r="K435" s="27"/>
      <c r="L435" s="21">
        <f>+K435*3</f>
        <v>0</v>
      </c>
      <c r="M435" s="36"/>
      <c r="N435" s="21">
        <f t="shared" si="33"/>
        <v>0</v>
      </c>
      <c r="O435" s="36">
        <v>27</v>
      </c>
      <c r="P435" s="31">
        <f t="shared" si="35"/>
        <v>150</v>
      </c>
      <c r="Q435" s="32"/>
      <c r="R435" s="124">
        <f>+L435+N435+P435+Q435</f>
        <v>150</v>
      </c>
      <c r="S435" s="130"/>
      <c r="T435" s="26"/>
    </row>
    <row r="436" spans="9:21">
      <c r="I436" s="113" t="s">
        <v>14</v>
      </c>
      <c r="J436" s="114" t="s">
        <v>66</v>
      </c>
      <c r="K436" s="120"/>
      <c r="L436" s="116">
        <f>+K436*3</f>
        <v>0</v>
      </c>
      <c r="M436" s="121">
        <v>16</v>
      </c>
      <c r="N436" s="146">
        <f>+M436*5+40</f>
        <v>120</v>
      </c>
      <c r="O436" s="117"/>
      <c r="P436" s="31">
        <f t="shared" si="35"/>
        <v>0</v>
      </c>
      <c r="Q436" s="32">
        <v>10</v>
      </c>
      <c r="R436" s="131">
        <f>+L436+N436+P436+Q436</f>
        <v>130</v>
      </c>
      <c r="S436" s="147" t="s">
        <v>131</v>
      </c>
      <c r="T436" s="148"/>
      <c r="U436" s="149"/>
    </row>
    <row r="437" spans="9:21">
      <c r="I437" s="27" t="s">
        <v>15</v>
      </c>
      <c r="J437" s="28" t="s">
        <v>16</v>
      </c>
      <c r="K437" s="18"/>
      <c r="L437" s="21">
        <f>+K437*3</f>
        <v>0</v>
      </c>
      <c r="M437" s="20">
        <v>18</v>
      </c>
      <c r="N437" s="21">
        <f>+M437*6</f>
        <v>108</v>
      </c>
      <c r="O437" s="36"/>
      <c r="P437" s="23">
        <f t="shared" si="35"/>
        <v>0</v>
      </c>
      <c r="Q437" s="24"/>
      <c r="R437" s="124">
        <f>+L437+N437+P437+Q437</f>
        <v>108</v>
      </c>
      <c r="S437" s="7"/>
      <c r="T437" s="26"/>
    </row>
    <row r="438" spans="9:21">
      <c r="I438" s="27" t="s">
        <v>17</v>
      </c>
      <c r="J438" s="30" t="s">
        <v>119</v>
      </c>
      <c r="K438" s="35"/>
      <c r="L438" s="21"/>
      <c r="M438" s="36">
        <v>12</v>
      </c>
      <c r="N438" s="146">
        <f>+M438*3+100</f>
        <v>136</v>
      </c>
      <c r="O438" s="36"/>
      <c r="P438" s="31">
        <f t="shared" si="35"/>
        <v>0</v>
      </c>
      <c r="Q438" s="32">
        <v>10</v>
      </c>
      <c r="R438" s="124">
        <f>+L438+N438+P438+Q438</f>
        <v>146</v>
      </c>
      <c r="S438" s="147" t="s">
        <v>132</v>
      </c>
      <c r="T438" s="148"/>
      <c r="U438" s="149"/>
    </row>
    <row r="439" spans="9:21">
      <c r="I439" s="113" t="s">
        <v>75</v>
      </c>
      <c r="J439" s="114" t="s">
        <v>76</v>
      </c>
      <c r="K439" s="115"/>
      <c r="L439" s="116"/>
      <c r="M439" s="117"/>
      <c r="N439" s="116">
        <f t="shared" si="33"/>
        <v>0</v>
      </c>
      <c r="O439" s="117">
        <v>17</v>
      </c>
      <c r="P439" s="31">
        <f t="shared" si="35"/>
        <v>102</v>
      </c>
      <c r="Q439" s="32"/>
      <c r="R439" s="131">
        <f>+L439+N439+P439+Q439</f>
        <v>102</v>
      </c>
      <c r="S439" s="130"/>
      <c r="T439" s="26"/>
    </row>
    <row r="440" spans="9:21">
      <c r="I440" s="113" t="s">
        <v>69</v>
      </c>
      <c r="J440" s="114" t="s">
        <v>70</v>
      </c>
      <c r="K440" s="115"/>
      <c r="L440" s="116">
        <v>0</v>
      </c>
      <c r="M440" s="117"/>
      <c r="N440" s="116">
        <f t="shared" si="33"/>
        <v>0</v>
      </c>
      <c r="O440" s="117">
        <v>7</v>
      </c>
      <c r="P440" s="31">
        <f t="shared" si="35"/>
        <v>42</v>
      </c>
      <c r="Q440" s="32"/>
      <c r="R440" s="131">
        <f t="shared" ref="R440:R445" si="36">+L440+N440+P440+Q440</f>
        <v>42</v>
      </c>
      <c r="S440" s="130"/>
      <c r="T440" s="26"/>
    </row>
    <row r="441" spans="9:21">
      <c r="I441" s="27" t="s">
        <v>91</v>
      </c>
      <c r="J441" s="30" t="s">
        <v>92</v>
      </c>
      <c r="K441" s="35"/>
      <c r="L441" s="21">
        <v>0</v>
      </c>
      <c r="M441" s="36"/>
      <c r="N441" s="21">
        <f t="shared" si="33"/>
        <v>0</v>
      </c>
      <c r="O441" s="36">
        <v>34</v>
      </c>
      <c r="P441" s="31">
        <f t="shared" si="35"/>
        <v>150</v>
      </c>
      <c r="Q441" s="32"/>
      <c r="R441" s="124">
        <f t="shared" si="36"/>
        <v>150</v>
      </c>
      <c r="S441" s="130"/>
      <c r="T441" s="26"/>
    </row>
    <row r="442" spans="9:21">
      <c r="I442" s="27" t="s">
        <v>93</v>
      </c>
      <c r="J442" s="28" t="s">
        <v>94</v>
      </c>
      <c r="K442" s="18"/>
      <c r="L442" s="21">
        <v>0</v>
      </c>
      <c r="M442" s="20">
        <v>9</v>
      </c>
      <c r="N442" s="21">
        <f t="shared" si="33"/>
        <v>27</v>
      </c>
      <c r="O442" s="36"/>
      <c r="P442" s="31">
        <f t="shared" si="35"/>
        <v>0</v>
      </c>
      <c r="Q442" s="24"/>
      <c r="R442" s="124">
        <f t="shared" si="36"/>
        <v>27</v>
      </c>
      <c r="S442" s="7"/>
      <c r="T442" s="26"/>
    </row>
    <row r="443" spans="9:21">
      <c r="I443" s="27" t="s">
        <v>120</v>
      </c>
      <c r="J443" s="28" t="s">
        <v>121</v>
      </c>
      <c r="K443" s="18"/>
      <c r="L443" s="21">
        <v>0</v>
      </c>
      <c r="M443" s="20">
        <v>11</v>
      </c>
      <c r="N443" s="21">
        <f t="shared" si="33"/>
        <v>33</v>
      </c>
      <c r="O443" s="36"/>
      <c r="P443" s="31">
        <f t="shared" si="35"/>
        <v>0</v>
      </c>
      <c r="Q443" s="24"/>
      <c r="R443" s="124">
        <f t="shared" si="36"/>
        <v>33</v>
      </c>
      <c r="S443" s="7"/>
      <c r="T443" s="26"/>
    </row>
    <row r="444" spans="9:21">
      <c r="I444" s="38" t="s">
        <v>125</v>
      </c>
      <c r="J444" s="50" t="s">
        <v>126</v>
      </c>
      <c r="K444" s="51"/>
      <c r="L444" s="52">
        <v>0</v>
      </c>
      <c r="M444" s="53">
        <v>15</v>
      </c>
      <c r="N444" s="52">
        <f>+M444*5</f>
        <v>75</v>
      </c>
      <c r="O444" s="79"/>
      <c r="P444" s="54">
        <f t="shared" si="35"/>
        <v>0</v>
      </c>
      <c r="Q444" s="55"/>
      <c r="R444" s="132">
        <f t="shared" si="36"/>
        <v>75</v>
      </c>
      <c r="S444" s="7"/>
      <c r="T444" s="26"/>
    </row>
    <row r="445" spans="9:21">
      <c r="I445" s="41"/>
      <c r="J445" s="42"/>
      <c r="K445" s="65">
        <f t="shared" ref="K445:Q445" si="37">SUM(K409:K444)</f>
        <v>0</v>
      </c>
      <c r="L445" s="66">
        <f t="shared" si="37"/>
        <v>0</v>
      </c>
      <c r="M445" s="56">
        <f t="shared" si="37"/>
        <v>187</v>
      </c>
      <c r="N445" s="58">
        <f t="shared" si="37"/>
        <v>999</v>
      </c>
      <c r="O445" s="56">
        <f t="shared" si="37"/>
        <v>430</v>
      </c>
      <c r="P445" s="58">
        <f t="shared" si="37"/>
        <v>1950</v>
      </c>
      <c r="Q445" s="58">
        <f t="shared" si="37"/>
        <v>20</v>
      </c>
      <c r="R445" s="57">
        <f t="shared" si="36"/>
        <v>2969</v>
      </c>
      <c r="S445" s="133"/>
      <c r="T445" s="26"/>
    </row>
    <row r="446" spans="9:21">
      <c r="N446" s="110" t="s">
        <v>105</v>
      </c>
      <c r="O446" s="112">
        <f>+O447-O445</f>
        <v>0</v>
      </c>
      <c r="P446" s="150">
        <f>+P447-P445</f>
        <v>12</v>
      </c>
    </row>
    <row r="447" spans="9:21">
      <c r="N447" s="111" t="s">
        <v>106</v>
      </c>
      <c r="O447" s="112">
        <v>430</v>
      </c>
      <c r="P447" s="150">
        <v>1962</v>
      </c>
      <c r="Q447" s="151" t="s">
        <v>133</v>
      </c>
      <c r="R447" s="152">
        <f>+R445-R444</f>
        <v>2894</v>
      </c>
    </row>
    <row r="449" spans="8:22">
      <c r="I449" s="418" t="s">
        <v>134</v>
      </c>
      <c r="J449" s="418"/>
      <c r="K449" s="418"/>
      <c r="L449" s="418"/>
      <c r="M449" s="418"/>
      <c r="N449" s="418"/>
      <c r="O449" s="418"/>
      <c r="P449" s="418"/>
      <c r="Q449" s="418"/>
      <c r="R449" s="418"/>
      <c r="T449" s="43"/>
    </row>
    <row r="450" spans="8:22">
      <c r="I450" s="11"/>
      <c r="J450" s="11"/>
      <c r="K450" s="428" t="s">
        <v>58</v>
      </c>
      <c r="L450" s="429"/>
      <c r="M450" s="429"/>
      <c r="N450" s="430"/>
      <c r="O450" s="428" t="s">
        <v>59</v>
      </c>
      <c r="P450" s="430"/>
      <c r="Q450" s="11"/>
      <c r="R450" s="11"/>
      <c r="T450" s="43"/>
    </row>
    <row r="451" spans="8:22" ht="40.5">
      <c r="I451" s="12" t="s">
        <v>11</v>
      </c>
      <c r="J451" s="12" t="s">
        <v>3</v>
      </c>
      <c r="K451" s="64" t="s">
        <v>23</v>
      </c>
      <c r="L451" s="64" t="s">
        <v>77</v>
      </c>
      <c r="M451" s="13" t="s">
        <v>23</v>
      </c>
      <c r="N451" s="13" t="s">
        <v>135</v>
      </c>
      <c r="O451" s="13" t="s">
        <v>23</v>
      </c>
      <c r="P451" s="13" t="s">
        <v>136</v>
      </c>
      <c r="Q451" s="13" t="s">
        <v>137</v>
      </c>
      <c r="R451" s="14" t="s">
        <v>60</v>
      </c>
      <c r="S451" s="7"/>
      <c r="T451" s="43"/>
    </row>
    <row r="452" spans="8:22">
      <c r="I452" s="16" t="s">
        <v>61</v>
      </c>
      <c r="J452" s="17" t="s">
        <v>62</v>
      </c>
      <c r="K452" s="18"/>
      <c r="L452" s="19">
        <f>+K452*3</f>
        <v>0</v>
      </c>
      <c r="M452" s="20">
        <v>3</v>
      </c>
      <c r="N452" s="21">
        <v>0</v>
      </c>
      <c r="O452" s="22"/>
      <c r="P452" s="23"/>
      <c r="Q452" s="24"/>
      <c r="R452" s="134">
        <f>+L452+N452+P452+Q452</f>
        <v>0</v>
      </c>
      <c r="S452" s="7"/>
      <c r="T452" s="26"/>
    </row>
    <row r="453" spans="8:22">
      <c r="I453" s="27" t="s">
        <v>4</v>
      </c>
      <c r="J453" s="28" t="s">
        <v>12</v>
      </c>
      <c r="K453" s="18"/>
      <c r="L453" s="21">
        <f>+K453*3</f>
        <v>0</v>
      </c>
      <c r="M453" s="20">
        <v>2</v>
      </c>
      <c r="N453" s="21">
        <v>0</v>
      </c>
      <c r="O453" s="22"/>
      <c r="P453" s="23"/>
      <c r="Q453" s="24"/>
      <c r="R453" s="124">
        <f t="shared" ref="R453:R477" si="38">+L453+N453+P453+Q453</f>
        <v>0</v>
      </c>
      <c r="S453" s="7"/>
    </row>
    <row r="454" spans="8:22">
      <c r="I454" s="27" t="s">
        <v>1</v>
      </c>
      <c r="J454" s="30" t="s">
        <v>56</v>
      </c>
      <c r="K454" s="18"/>
      <c r="L454" s="21">
        <f>+K454*3</f>
        <v>0</v>
      </c>
      <c r="M454" s="20">
        <v>3</v>
      </c>
      <c r="N454" s="21">
        <v>0</v>
      </c>
      <c r="O454" s="36"/>
      <c r="P454" s="31">
        <f>IF(O454&gt;25,150,(O454)*6)</f>
        <v>0</v>
      </c>
      <c r="Q454" s="32"/>
      <c r="R454" s="124">
        <f t="shared" si="38"/>
        <v>0</v>
      </c>
      <c r="S454" s="7"/>
      <c r="T454" s="26"/>
      <c r="U454" s="426">
        <f ca="1">+TODAY()</f>
        <v>43292</v>
      </c>
      <c r="V454" s="427"/>
    </row>
    <row r="455" spans="8:22">
      <c r="I455" s="113" t="s">
        <v>2</v>
      </c>
      <c r="J455" s="114" t="s">
        <v>47</v>
      </c>
      <c r="K455" s="115"/>
      <c r="L455" s="116"/>
      <c r="M455" s="117"/>
      <c r="N455" s="21">
        <f>+M455*3</f>
        <v>0</v>
      </c>
      <c r="O455" s="117">
        <v>34</v>
      </c>
      <c r="P455" s="31">
        <f>IF(O455&gt;25,150,(O455)*6)</f>
        <v>150</v>
      </c>
      <c r="Q455" s="32"/>
      <c r="R455" s="131">
        <f t="shared" si="38"/>
        <v>150</v>
      </c>
      <c r="S455" s="7"/>
      <c r="T455" s="26"/>
    </row>
    <row r="456" spans="8:22">
      <c r="I456" s="27" t="s">
        <v>0</v>
      </c>
      <c r="J456" s="28" t="s">
        <v>7</v>
      </c>
      <c r="K456" s="18"/>
      <c r="L456" s="21">
        <f>+K456*5</f>
        <v>0</v>
      </c>
      <c r="M456" s="20"/>
      <c r="N456" s="21">
        <f>5*M456</f>
        <v>0</v>
      </c>
      <c r="O456" s="22"/>
      <c r="P456" s="23">
        <v>0</v>
      </c>
      <c r="Q456" s="24"/>
      <c r="R456" s="124">
        <f t="shared" si="38"/>
        <v>0</v>
      </c>
      <c r="S456" s="7"/>
      <c r="T456" s="26"/>
    </row>
    <row r="457" spans="8:22">
      <c r="I457" s="27" t="s">
        <v>5</v>
      </c>
      <c r="J457" s="30" t="s">
        <v>71</v>
      </c>
      <c r="K457" s="18"/>
      <c r="L457" s="21">
        <f>+K457*3</f>
        <v>0</v>
      </c>
      <c r="M457" s="36"/>
      <c r="N457" s="21">
        <f>+M457*5</f>
        <v>0</v>
      </c>
      <c r="O457" s="36">
        <v>27</v>
      </c>
      <c r="P457" s="31">
        <f t="shared" ref="P457:P477" si="39">IF(O457&gt;25,150,(O457)*6)</f>
        <v>150</v>
      </c>
      <c r="Q457" s="32"/>
      <c r="R457" s="131">
        <f t="shared" si="38"/>
        <v>150</v>
      </c>
      <c r="S457" s="7"/>
      <c r="T457" s="26"/>
    </row>
    <row r="458" spans="8:22">
      <c r="I458" s="27" t="s">
        <v>27</v>
      </c>
      <c r="J458" s="30" t="s">
        <v>28</v>
      </c>
      <c r="K458" s="18"/>
      <c r="L458" s="21">
        <v>0</v>
      </c>
      <c r="M458" s="36">
        <v>4</v>
      </c>
      <c r="N458" s="21">
        <f>+M458*3</f>
        <v>12</v>
      </c>
      <c r="O458" s="36"/>
      <c r="P458" s="31">
        <f t="shared" si="39"/>
        <v>0</v>
      </c>
      <c r="Q458" s="32"/>
      <c r="R458" s="131">
        <f t="shared" si="38"/>
        <v>12</v>
      </c>
      <c r="S458" s="7"/>
      <c r="T458" s="26"/>
    </row>
    <row r="459" spans="8:22">
      <c r="I459" s="27" t="s">
        <v>8</v>
      </c>
      <c r="J459" s="30" t="s">
        <v>29</v>
      </c>
      <c r="K459" s="35"/>
      <c r="L459" s="21"/>
      <c r="M459" s="36"/>
      <c r="N459" s="21">
        <f>+M459*5</f>
        <v>0</v>
      </c>
      <c r="O459" s="36"/>
      <c r="P459" s="31">
        <f t="shared" si="39"/>
        <v>0</v>
      </c>
      <c r="Q459" s="32"/>
      <c r="R459" s="131">
        <f t="shared" si="38"/>
        <v>0</v>
      </c>
      <c r="S459" s="7"/>
      <c r="T459" s="26"/>
    </row>
    <row r="460" spans="8:22">
      <c r="I460" s="27" t="s">
        <v>63</v>
      </c>
      <c r="J460" s="30" t="s">
        <v>33</v>
      </c>
      <c r="K460" s="35"/>
      <c r="L460" s="21"/>
      <c r="M460" s="36"/>
      <c r="N460" s="21">
        <f>+M460*3</f>
        <v>0</v>
      </c>
      <c r="O460" s="36"/>
      <c r="P460" s="31">
        <f t="shared" si="39"/>
        <v>0</v>
      </c>
      <c r="Q460" s="32"/>
      <c r="R460" s="131">
        <f t="shared" si="38"/>
        <v>0</v>
      </c>
      <c r="S460" s="7"/>
      <c r="T460" s="26"/>
    </row>
    <row r="461" spans="8:22">
      <c r="I461" s="27" t="s">
        <v>24</v>
      </c>
      <c r="J461" s="30" t="s">
        <v>30</v>
      </c>
      <c r="K461" s="18"/>
      <c r="L461" s="21">
        <v>0</v>
      </c>
      <c r="M461" s="20"/>
      <c r="N461" s="21">
        <f>+M461*3</f>
        <v>0</v>
      </c>
      <c r="O461" s="36">
        <v>26</v>
      </c>
      <c r="P461" s="31">
        <f t="shared" si="39"/>
        <v>150</v>
      </c>
      <c r="Q461" s="32"/>
      <c r="R461" s="124">
        <f t="shared" si="38"/>
        <v>150</v>
      </c>
      <c r="S461" s="7"/>
      <c r="T461" s="137">
        <v>860</v>
      </c>
      <c r="U461" s="138">
        <v>111.8</v>
      </c>
      <c r="V461" s="139">
        <v>748.2</v>
      </c>
    </row>
    <row r="462" spans="8:22">
      <c r="I462" s="27" t="s">
        <v>18</v>
      </c>
      <c r="J462" s="28" t="s">
        <v>72</v>
      </c>
      <c r="K462" s="18"/>
      <c r="L462" s="21">
        <f>+K462*3</f>
        <v>0</v>
      </c>
      <c r="M462" s="20">
        <v>4</v>
      </c>
      <c r="N462" s="21">
        <f>+M462*3</f>
        <v>12</v>
      </c>
      <c r="O462" s="36"/>
      <c r="P462" s="31">
        <f t="shared" si="39"/>
        <v>0</v>
      </c>
      <c r="Q462" s="24"/>
      <c r="R462" s="124">
        <f t="shared" si="38"/>
        <v>12</v>
      </c>
      <c r="S462" s="7"/>
      <c r="T462" s="140">
        <f>+U462+V462</f>
        <v>827.58620689655174</v>
      </c>
      <c r="U462" s="5">
        <f>+U461*V462/V461</f>
        <v>107.58620689655172</v>
      </c>
      <c r="V462" s="141">
        <v>720</v>
      </c>
    </row>
    <row r="463" spans="8:22">
      <c r="H463" s="82" t="s">
        <v>84</v>
      </c>
      <c r="I463" s="83" t="s">
        <v>6</v>
      </c>
      <c r="J463" s="84" t="s">
        <v>99</v>
      </c>
      <c r="K463" s="85"/>
      <c r="L463" s="86">
        <f>+K463*3</f>
        <v>0</v>
      </c>
      <c r="M463" s="87"/>
      <c r="N463" s="86">
        <f t="shared" ref="N463:N481" si="40">+M463*3</f>
        <v>0</v>
      </c>
      <c r="O463" s="88"/>
      <c r="P463" s="89">
        <f t="shared" si="39"/>
        <v>0</v>
      </c>
      <c r="Q463" s="90"/>
      <c r="R463" s="135">
        <f t="shared" si="38"/>
        <v>0</v>
      </c>
      <c r="S463" s="7"/>
      <c r="T463" s="142">
        <f>+T461-T462</f>
        <v>32.413793103448256</v>
      </c>
      <c r="U463" s="5"/>
      <c r="V463" s="143"/>
    </row>
    <row r="464" spans="8:22">
      <c r="I464" s="27" t="s">
        <v>31</v>
      </c>
      <c r="J464" s="30" t="s">
        <v>32</v>
      </c>
      <c r="K464" s="35"/>
      <c r="L464" s="21"/>
      <c r="M464" s="36"/>
      <c r="N464" s="21">
        <f t="shared" si="40"/>
        <v>0</v>
      </c>
      <c r="O464" s="36">
        <v>1</v>
      </c>
      <c r="P464" s="31">
        <f t="shared" si="39"/>
        <v>6</v>
      </c>
      <c r="Q464" s="32"/>
      <c r="R464" s="124">
        <f t="shared" si="38"/>
        <v>6</v>
      </c>
      <c r="S464" s="7"/>
      <c r="T464" s="144">
        <v>150</v>
      </c>
      <c r="U464" s="145">
        <f>+T464-T463</f>
        <v>117.58620689655174</v>
      </c>
      <c r="V464" s="8"/>
    </row>
    <row r="465" spans="8:22">
      <c r="I465" s="27" t="s">
        <v>54</v>
      </c>
      <c r="J465" s="30" t="s">
        <v>55</v>
      </c>
      <c r="K465" s="18"/>
      <c r="L465" s="21">
        <f>+K465*3</f>
        <v>0</v>
      </c>
      <c r="M465" s="20"/>
      <c r="N465" s="21">
        <f t="shared" si="40"/>
        <v>0</v>
      </c>
      <c r="O465" s="36"/>
      <c r="P465" s="31">
        <f t="shared" si="39"/>
        <v>0</v>
      </c>
      <c r="Q465" s="32"/>
      <c r="R465" s="124">
        <f t="shared" si="38"/>
        <v>0</v>
      </c>
      <c r="S465" s="7"/>
      <c r="T465" s="26"/>
    </row>
    <row r="466" spans="8:22">
      <c r="I466" s="113" t="s">
        <v>10</v>
      </c>
      <c r="J466" s="114" t="s">
        <v>34</v>
      </c>
      <c r="K466" s="115"/>
      <c r="L466" s="116"/>
      <c r="M466" s="117"/>
      <c r="N466" s="116">
        <f t="shared" si="40"/>
        <v>0</v>
      </c>
      <c r="O466" s="117">
        <v>21</v>
      </c>
      <c r="P466" s="31">
        <f t="shared" si="39"/>
        <v>126</v>
      </c>
      <c r="Q466" s="32"/>
      <c r="R466" s="131">
        <f t="shared" si="38"/>
        <v>126</v>
      </c>
      <c r="S466" s="7"/>
      <c r="T466" s="137">
        <v>828</v>
      </c>
      <c r="U466" s="138">
        <v>107.64</v>
      </c>
      <c r="V466" s="139">
        <v>720.36</v>
      </c>
    </row>
    <row r="467" spans="8:22">
      <c r="I467" s="113" t="s">
        <v>9</v>
      </c>
      <c r="J467" s="114" t="s">
        <v>35</v>
      </c>
      <c r="K467" s="115"/>
      <c r="L467" s="116"/>
      <c r="M467" s="117"/>
      <c r="N467" s="116">
        <f t="shared" si="40"/>
        <v>0</v>
      </c>
      <c r="O467" s="117">
        <v>40</v>
      </c>
      <c r="P467" s="31">
        <f t="shared" si="39"/>
        <v>150</v>
      </c>
      <c r="Q467" s="32"/>
      <c r="R467" s="131">
        <f t="shared" si="38"/>
        <v>150</v>
      </c>
      <c r="S467" s="7"/>
      <c r="T467" s="140">
        <f>+U467+V467</f>
        <v>827.58620689655174</v>
      </c>
      <c r="U467" s="5">
        <f>+U466*V467/V466</f>
        <v>107.58620689655173</v>
      </c>
      <c r="V467" s="141">
        <v>720</v>
      </c>
    </row>
    <row r="468" spans="8:22">
      <c r="I468" s="27" t="s">
        <v>36</v>
      </c>
      <c r="J468" s="30" t="s">
        <v>37</v>
      </c>
      <c r="K468" s="35"/>
      <c r="L468" s="21"/>
      <c r="M468" s="36"/>
      <c r="N468" s="21">
        <f t="shared" si="40"/>
        <v>0</v>
      </c>
      <c r="O468" s="36">
        <v>29</v>
      </c>
      <c r="P468" s="31">
        <f t="shared" si="39"/>
        <v>150</v>
      </c>
      <c r="Q468" s="32"/>
      <c r="R468" s="124">
        <f t="shared" si="38"/>
        <v>150</v>
      </c>
      <c r="S468" s="7"/>
      <c r="T468" s="142">
        <f>+T466-T467</f>
        <v>0.41379310344825626</v>
      </c>
      <c r="U468" s="5"/>
      <c r="V468" s="143"/>
    </row>
    <row r="469" spans="8:22">
      <c r="I469" s="27" t="s">
        <v>64</v>
      </c>
      <c r="J469" s="30" t="s">
        <v>65</v>
      </c>
      <c r="K469" s="35"/>
      <c r="L469" s="21"/>
      <c r="M469" s="36"/>
      <c r="N469" s="21">
        <f t="shared" si="40"/>
        <v>0</v>
      </c>
      <c r="O469" s="36">
        <v>32</v>
      </c>
      <c r="P469" s="31">
        <f t="shared" si="39"/>
        <v>150</v>
      </c>
      <c r="Q469" s="32"/>
      <c r="R469" s="124">
        <f t="shared" si="38"/>
        <v>150</v>
      </c>
      <c r="S469" s="7"/>
      <c r="T469" s="144">
        <v>150</v>
      </c>
      <c r="U469" s="145">
        <f>+T469-T468</f>
        <v>149.58620689655174</v>
      </c>
      <c r="V469" s="8"/>
    </row>
    <row r="470" spans="8:22">
      <c r="I470" s="27" t="s">
        <v>13</v>
      </c>
      <c r="J470" s="30" t="s">
        <v>38</v>
      </c>
      <c r="K470" s="35"/>
      <c r="L470" s="21"/>
      <c r="M470" s="36"/>
      <c r="N470" s="21">
        <f t="shared" si="40"/>
        <v>0</v>
      </c>
      <c r="O470" s="36">
        <v>1</v>
      </c>
      <c r="P470" s="31">
        <f t="shared" si="39"/>
        <v>6</v>
      </c>
      <c r="Q470" s="32"/>
      <c r="R470" s="124">
        <f t="shared" si="38"/>
        <v>6</v>
      </c>
      <c r="S470" s="7"/>
      <c r="T470" s="26"/>
    </row>
    <row r="471" spans="8:22">
      <c r="I471" s="27" t="s">
        <v>39</v>
      </c>
      <c r="J471" s="30" t="s">
        <v>40</v>
      </c>
      <c r="K471" s="35"/>
      <c r="L471" s="21"/>
      <c r="M471" s="36"/>
      <c r="N471" s="21">
        <f t="shared" si="40"/>
        <v>0</v>
      </c>
      <c r="O471" s="36"/>
      <c r="P471" s="31">
        <f t="shared" si="39"/>
        <v>0</v>
      </c>
      <c r="Q471" s="32"/>
      <c r="R471" s="124">
        <f t="shared" si="38"/>
        <v>0</v>
      </c>
      <c r="S471" s="7"/>
      <c r="T471" s="78"/>
    </row>
    <row r="472" spans="8:22">
      <c r="H472" s="82" t="s">
        <v>84</v>
      </c>
      <c r="I472" s="83" t="s">
        <v>19</v>
      </c>
      <c r="J472" s="84" t="s">
        <v>20</v>
      </c>
      <c r="K472" s="85"/>
      <c r="L472" s="86">
        <f>+K472*3</f>
        <v>0</v>
      </c>
      <c r="M472" s="87"/>
      <c r="N472" s="86">
        <f t="shared" si="40"/>
        <v>0</v>
      </c>
      <c r="O472" s="88"/>
      <c r="P472" s="89">
        <f t="shared" si="39"/>
        <v>0</v>
      </c>
      <c r="Q472" s="90"/>
      <c r="R472" s="135">
        <f t="shared" si="38"/>
        <v>0</v>
      </c>
      <c r="S472" s="7"/>
      <c r="T472" s="26"/>
    </row>
    <row r="473" spans="8:22">
      <c r="I473" s="27" t="s">
        <v>41</v>
      </c>
      <c r="J473" s="30" t="s">
        <v>42</v>
      </c>
      <c r="K473" s="35"/>
      <c r="L473" s="21"/>
      <c r="M473" s="36"/>
      <c r="N473" s="21">
        <f t="shared" si="40"/>
        <v>0</v>
      </c>
      <c r="O473" s="36">
        <v>38</v>
      </c>
      <c r="P473" s="31">
        <f t="shared" si="39"/>
        <v>150</v>
      </c>
      <c r="Q473" s="32"/>
      <c r="R473" s="124">
        <f t="shared" si="38"/>
        <v>150</v>
      </c>
      <c r="S473" s="7"/>
      <c r="T473" s="26"/>
    </row>
    <row r="474" spans="8:22">
      <c r="I474" s="27" t="s">
        <v>26</v>
      </c>
      <c r="J474" s="30" t="s">
        <v>48</v>
      </c>
      <c r="K474" s="18"/>
      <c r="L474" s="21">
        <v>0</v>
      </c>
      <c r="M474" s="20"/>
      <c r="N474" s="21">
        <f t="shared" si="40"/>
        <v>0</v>
      </c>
      <c r="O474" s="36">
        <v>33</v>
      </c>
      <c r="P474" s="31">
        <f t="shared" si="39"/>
        <v>150</v>
      </c>
      <c r="Q474" s="32"/>
      <c r="R474" s="124">
        <f t="shared" si="38"/>
        <v>150</v>
      </c>
      <c r="S474" s="7"/>
      <c r="T474" s="26"/>
    </row>
    <row r="475" spans="8:22">
      <c r="I475" s="27" t="s">
        <v>67</v>
      </c>
      <c r="J475" s="28" t="s">
        <v>68</v>
      </c>
      <c r="K475" s="18"/>
      <c r="L475" s="21">
        <v>0</v>
      </c>
      <c r="M475" s="20"/>
      <c r="N475" s="21">
        <f t="shared" si="40"/>
        <v>0</v>
      </c>
      <c r="O475" s="22"/>
      <c r="P475" s="31">
        <f t="shared" si="39"/>
        <v>0</v>
      </c>
      <c r="Q475" s="24"/>
      <c r="R475" s="124">
        <f t="shared" si="38"/>
        <v>0</v>
      </c>
      <c r="S475" s="7"/>
      <c r="T475" s="26"/>
    </row>
    <row r="476" spans="8:22">
      <c r="I476" s="27" t="s">
        <v>21</v>
      </c>
      <c r="J476" s="28" t="s">
        <v>22</v>
      </c>
      <c r="K476" s="18"/>
      <c r="L476" s="21">
        <v>0</v>
      </c>
      <c r="M476" s="20"/>
      <c r="N476" s="21">
        <f t="shared" si="40"/>
        <v>0</v>
      </c>
      <c r="O476" s="36">
        <v>35</v>
      </c>
      <c r="P476" s="31">
        <f t="shared" si="39"/>
        <v>150</v>
      </c>
      <c r="Q476" s="24"/>
      <c r="R476" s="124">
        <f t="shared" si="38"/>
        <v>150</v>
      </c>
      <c r="S476" s="7"/>
      <c r="T476" s="26"/>
    </row>
    <row r="477" spans="8:22">
      <c r="I477" s="27" t="s">
        <v>43</v>
      </c>
      <c r="J477" s="28" t="s">
        <v>73</v>
      </c>
      <c r="K477" s="18"/>
      <c r="L477" s="21">
        <v>0</v>
      </c>
      <c r="M477" s="20"/>
      <c r="N477" s="21">
        <f t="shared" si="40"/>
        <v>0</v>
      </c>
      <c r="O477" s="36">
        <v>1</v>
      </c>
      <c r="P477" s="31">
        <f t="shared" si="39"/>
        <v>6</v>
      </c>
      <c r="Q477" s="24"/>
      <c r="R477" s="124">
        <f t="shared" si="38"/>
        <v>6</v>
      </c>
      <c r="S477" s="7"/>
      <c r="T477" s="26"/>
    </row>
    <row r="478" spans="8:22">
      <c r="I478" s="27" t="s">
        <v>44</v>
      </c>
      <c r="J478" s="30" t="s">
        <v>45</v>
      </c>
      <c r="K478" s="27"/>
      <c r="L478" s="21">
        <f>+K478*3</f>
        <v>0</v>
      </c>
      <c r="M478" s="36"/>
      <c r="N478" s="21">
        <f t="shared" si="40"/>
        <v>0</v>
      </c>
      <c r="O478" s="36">
        <v>25</v>
      </c>
      <c r="P478" s="31">
        <f>IF(O478&gt;25,150,(O478)*6)</f>
        <v>150</v>
      </c>
      <c r="Q478" s="32"/>
      <c r="R478" s="124">
        <f>+L478+N478+P478+Q478</f>
        <v>150</v>
      </c>
      <c r="S478" s="130"/>
      <c r="T478" s="26"/>
    </row>
    <row r="479" spans="8:22">
      <c r="I479" s="153" t="s">
        <v>14</v>
      </c>
      <c r="J479" s="154" t="s">
        <v>66</v>
      </c>
      <c r="K479" s="155"/>
      <c r="L479" s="156">
        <f>+K479*3</f>
        <v>0</v>
      </c>
      <c r="M479" s="157"/>
      <c r="N479" s="46">
        <f t="shared" si="40"/>
        <v>0</v>
      </c>
      <c r="O479" s="158">
        <v>27</v>
      </c>
      <c r="P479" s="61">
        <f>IF(O479&gt;25,150,(O479)*6)</f>
        <v>150</v>
      </c>
      <c r="Q479" s="62"/>
      <c r="R479" s="126">
        <f>+L479+N479+P479+Q479</f>
        <v>150</v>
      </c>
      <c r="S479" s="159" t="s">
        <v>138</v>
      </c>
      <c r="T479" s="26"/>
    </row>
    <row r="480" spans="8:22">
      <c r="I480" s="27" t="s">
        <v>15</v>
      </c>
      <c r="J480" s="28" t="s">
        <v>16</v>
      </c>
      <c r="K480" s="18"/>
      <c r="L480" s="21">
        <f>+K480*3</f>
        <v>0</v>
      </c>
      <c r="M480" s="20">
        <v>3</v>
      </c>
      <c r="N480" s="21">
        <v>0</v>
      </c>
      <c r="O480" s="36"/>
      <c r="P480" s="23">
        <f t="shared" ref="P480:P487" si="41">IF(O480&gt;25,150,(O480)*6)</f>
        <v>0</v>
      </c>
      <c r="Q480" s="24"/>
      <c r="R480" s="124">
        <f>+L480+N480+P480+Q480</f>
        <v>0</v>
      </c>
      <c r="S480" s="130"/>
      <c r="T480" s="26"/>
    </row>
    <row r="481" spans="9:23">
      <c r="I481" s="27" t="s">
        <v>17</v>
      </c>
      <c r="J481" s="30" t="s">
        <v>119</v>
      </c>
      <c r="K481" s="35"/>
      <c r="L481" s="21"/>
      <c r="M481" s="36"/>
      <c r="N481" s="21">
        <f t="shared" si="40"/>
        <v>0</v>
      </c>
      <c r="O481" s="36"/>
      <c r="P481" s="31">
        <f t="shared" si="41"/>
        <v>0</v>
      </c>
      <c r="Q481" s="32"/>
      <c r="R481" s="124">
        <f>+L481+N481+P481+Q481</f>
        <v>0</v>
      </c>
      <c r="S481" s="130"/>
      <c r="T481" s="26"/>
    </row>
    <row r="482" spans="9:23">
      <c r="I482" s="113" t="s">
        <v>75</v>
      </c>
      <c r="J482" s="114" t="s">
        <v>76</v>
      </c>
      <c r="K482" s="115"/>
      <c r="L482" s="116"/>
      <c r="M482" s="117"/>
      <c r="N482" s="116">
        <f>+M482*3</f>
        <v>0</v>
      </c>
      <c r="O482" s="117">
        <v>2</v>
      </c>
      <c r="P482" s="31">
        <f t="shared" si="41"/>
        <v>12</v>
      </c>
      <c r="Q482" s="32"/>
      <c r="R482" s="131">
        <f>+L482+N482+P482+Q482</f>
        <v>12</v>
      </c>
      <c r="S482" s="130"/>
      <c r="T482" s="26"/>
    </row>
    <row r="483" spans="9:23">
      <c r="I483" s="113" t="s">
        <v>69</v>
      </c>
      <c r="J483" s="114" t="s">
        <v>70</v>
      </c>
      <c r="K483" s="115"/>
      <c r="L483" s="116">
        <v>0</v>
      </c>
      <c r="M483" s="117"/>
      <c r="N483" s="116">
        <f>+M483*3</f>
        <v>0</v>
      </c>
      <c r="O483" s="117">
        <v>23</v>
      </c>
      <c r="P483" s="31">
        <f t="shared" si="41"/>
        <v>138</v>
      </c>
      <c r="Q483" s="32"/>
      <c r="R483" s="131">
        <f t="shared" ref="R483:R488" si="42">+L483+N483+P483+Q483</f>
        <v>138</v>
      </c>
      <c r="S483" s="130"/>
      <c r="T483" s="26"/>
    </row>
    <row r="484" spans="9:23">
      <c r="I484" s="27" t="s">
        <v>91</v>
      </c>
      <c r="J484" s="30" t="s">
        <v>92</v>
      </c>
      <c r="K484" s="35"/>
      <c r="L484" s="21">
        <v>0</v>
      </c>
      <c r="M484" s="36"/>
      <c r="N484" s="21">
        <f>+M484*3</f>
        <v>0</v>
      </c>
      <c r="O484" s="36">
        <v>34</v>
      </c>
      <c r="P484" s="31">
        <f t="shared" si="41"/>
        <v>150</v>
      </c>
      <c r="Q484" s="32"/>
      <c r="R484" s="124">
        <f t="shared" si="42"/>
        <v>150</v>
      </c>
      <c r="S484" s="130"/>
      <c r="T484" s="26"/>
    </row>
    <row r="485" spans="9:23">
      <c r="I485" s="27" t="s">
        <v>93</v>
      </c>
      <c r="J485" s="28" t="s">
        <v>94</v>
      </c>
      <c r="K485" s="18"/>
      <c r="L485" s="21">
        <v>0</v>
      </c>
      <c r="M485" s="20"/>
      <c r="N485" s="21">
        <f>+M485*3</f>
        <v>0</v>
      </c>
      <c r="O485" s="36"/>
      <c r="P485" s="31">
        <f t="shared" si="41"/>
        <v>0</v>
      </c>
      <c r="Q485" s="24"/>
      <c r="R485" s="124">
        <f t="shared" si="42"/>
        <v>0</v>
      </c>
      <c r="S485" s="7"/>
      <c r="T485" s="26"/>
    </row>
    <row r="486" spans="9:23">
      <c r="I486" s="27" t="s">
        <v>120</v>
      </c>
      <c r="J486" s="28" t="s">
        <v>121</v>
      </c>
      <c r="K486" s="18"/>
      <c r="L486" s="21">
        <v>0</v>
      </c>
      <c r="M486" s="20">
        <v>3</v>
      </c>
      <c r="N486" s="21">
        <v>0</v>
      </c>
      <c r="O486" s="36"/>
      <c r="P486" s="31">
        <f t="shared" si="41"/>
        <v>0</v>
      </c>
      <c r="Q486" s="24"/>
      <c r="R486" s="124">
        <f t="shared" si="42"/>
        <v>0</v>
      </c>
      <c r="S486" s="7"/>
      <c r="T486" s="26"/>
    </row>
    <row r="487" spans="9:23">
      <c r="I487" s="38" t="s">
        <v>125</v>
      </c>
      <c r="J487" s="50" t="s">
        <v>126</v>
      </c>
      <c r="K487" s="51"/>
      <c r="L487" s="52">
        <v>0</v>
      </c>
      <c r="M487" s="53"/>
      <c r="N487" s="52">
        <f>+M487*5</f>
        <v>0</v>
      </c>
      <c r="O487" s="79"/>
      <c r="P487" s="54">
        <f t="shared" si="41"/>
        <v>0</v>
      </c>
      <c r="Q487" s="55"/>
      <c r="R487" s="132">
        <f t="shared" si="42"/>
        <v>0</v>
      </c>
      <c r="S487" s="7"/>
      <c r="T487" s="26"/>
    </row>
    <row r="488" spans="9:23">
      <c r="I488" s="41"/>
      <c r="J488" s="42"/>
      <c r="K488" s="65">
        <f t="shared" ref="K488:Q488" si="43">SUM(K452:K487)</f>
        <v>0</v>
      </c>
      <c r="L488" s="66">
        <f t="shared" si="43"/>
        <v>0</v>
      </c>
      <c r="M488" s="56">
        <f t="shared" si="43"/>
        <v>22</v>
      </c>
      <c r="N488" s="58">
        <f t="shared" si="43"/>
        <v>24</v>
      </c>
      <c r="O488" s="56">
        <f t="shared" si="43"/>
        <v>429</v>
      </c>
      <c r="P488" s="58">
        <f t="shared" si="43"/>
        <v>2094</v>
      </c>
      <c r="Q488" s="58">
        <f t="shared" si="43"/>
        <v>0</v>
      </c>
      <c r="R488" s="57">
        <f t="shared" si="42"/>
        <v>2118</v>
      </c>
      <c r="S488" s="133"/>
      <c r="T488" s="26"/>
    </row>
    <row r="489" spans="9:23">
      <c r="N489" s="110" t="s">
        <v>105</v>
      </c>
      <c r="O489" s="112">
        <f>+O490-O488</f>
        <v>1</v>
      </c>
      <c r="P489" s="150">
        <f>+P490-P488</f>
        <v>-132</v>
      </c>
    </row>
    <row r="490" spans="9:23">
      <c r="N490" s="111" t="s">
        <v>106</v>
      </c>
      <c r="O490" s="112">
        <v>430</v>
      </c>
      <c r="P490" s="150">
        <v>1962</v>
      </c>
      <c r="Q490" s="151" t="s">
        <v>133</v>
      </c>
      <c r="R490" s="152">
        <f>+R488-R487</f>
        <v>2118</v>
      </c>
    </row>
    <row r="492" spans="9:23">
      <c r="I492" s="418" t="s">
        <v>139</v>
      </c>
      <c r="J492" s="418"/>
      <c r="K492" s="418"/>
      <c r="L492" s="418"/>
      <c r="M492" s="418"/>
      <c r="N492" s="418"/>
      <c r="O492" s="418"/>
      <c r="P492" s="418"/>
      <c r="Q492" s="418"/>
      <c r="R492" s="418"/>
      <c r="T492" s="43"/>
    </row>
    <row r="493" spans="9:23">
      <c r="I493" s="11"/>
      <c r="J493" s="11"/>
      <c r="K493" s="428" t="s">
        <v>58</v>
      </c>
      <c r="L493" s="429"/>
      <c r="M493" s="429"/>
      <c r="N493" s="430"/>
      <c r="O493" s="428" t="s">
        <v>59</v>
      </c>
      <c r="P493" s="430"/>
      <c r="Q493" s="11"/>
      <c r="R493" s="11"/>
      <c r="T493" s="426">
        <f ca="1">+TODAY()</f>
        <v>43292</v>
      </c>
      <c r="U493" s="427"/>
    </row>
    <row r="494" spans="9:23" ht="40.5">
      <c r="I494" s="12" t="s">
        <v>11</v>
      </c>
      <c r="J494" s="12" t="s">
        <v>3</v>
      </c>
      <c r="K494" s="64" t="s">
        <v>23</v>
      </c>
      <c r="L494" s="64" t="s">
        <v>77</v>
      </c>
      <c r="M494" s="13" t="s">
        <v>23</v>
      </c>
      <c r="N494" s="13" t="s">
        <v>140</v>
      </c>
      <c r="O494" s="13" t="s">
        <v>23</v>
      </c>
      <c r="P494" s="13" t="s">
        <v>141</v>
      </c>
      <c r="Q494" s="13" t="s">
        <v>142</v>
      </c>
      <c r="R494" s="14" t="s">
        <v>60</v>
      </c>
      <c r="S494" s="7"/>
    </row>
    <row r="495" spans="9:23">
      <c r="I495" s="16" t="s">
        <v>61</v>
      </c>
      <c r="J495" s="17" t="s">
        <v>62</v>
      </c>
      <c r="K495" s="18"/>
      <c r="L495" s="19">
        <f>+K495*3</f>
        <v>0</v>
      </c>
      <c r="M495" s="20">
        <v>16</v>
      </c>
      <c r="N495" s="21">
        <v>0</v>
      </c>
      <c r="O495" s="22"/>
      <c r="P495" s="23"/>
      <c r="Q495" s="24"/>
      <c r="R495" s="134">
        <f>+L495+N495+P495+Q495</f>
        <v>0</v>
      </c>
      <c r="S495" s="7"/>
      <c r="T495" s="137">
        <v>1000.8</v>
      </c>
      <c r="U495" s="138">
        <v>130.1</v>
      </c>
      <c r="V495" s="139">
        <v>870.7</v>
      </c>
      <c r="W495" s="160" t="s">
        <v>143</v>
      </c>
    </row>
    <row r="496" spans="9:23">
      <c r="I496" s="27" t="s">
        <v>4</v>
      </c>
      <c r="J496" s="28" t="s">
        <v>12</v>
      </c>
      <c r="K496" s="18"/>
      <c r="L496" s="21">
        <f>+K496*3</f>
        <v>0</v>
      </c>
      <c r="M496" s="20"/>
      <c r="N496" s="21">
        <v>0</v>
      </c>
      <c r="O496" s="22"/>
      <c r="P496" s="23"/>
      <c r="Q496" s="24"/>
      <c r="R496" s="124">
        <f t="shared" ref="R496:R532" si="44">+L496+N496+P496+Q496</f>
        <v>0</v>
      </c>
      <c r="S496" s="7"/>
      <c r="T496" s="140">
        <f>+U496+V496</f>
        <v>827.58240496152519</v>
      </c>
      <c r="U496" s="5">
        <f>+U495*V496/V495</f>
        <v>107.5824049615252</v>
      </c>
      <c r="V496" s="141">
        <v>720</v>
      </c>
      <c r="W496" s="161">
        <v>740.02</v>
      </c>
    </row>
    <row r="497" spans="8:23">
      <c r="I497" s="27" t="s">
        <v>1</v>
      </c>
      <c r="J497" s="30" t="s">
        <v>56</v>
      </c>
      <c r="K497" s="18"/>
      <c r="L497" s="21">
        <f>+K497*3</f>
        <v>0</v>
      </c>
      <c r="M497" s="20">
        <v>25</v>
      </c>
      <c r="N497" s="21">
        <v>0</v>
      </c>
      <c r="O497" s="36"/>
      <c r="P497" s="31">
        <f>IF(O497&gt;25,150,(O497)*6)</f>
        <v>0</v>
      </c>
      <c r="Q497" s="32">
        <v>20</v>
      </c>
      <c r="R497" s="124">
        <f t="shared" si="44"/>
        <v>20</v>
      </c>
      <c r="S497" s="7"/>
      <c r="T497" s="142">
        <f>+T495-T496</f>
        <v>173.21759503847477</v>
      </c>
      <c r="U497" s="5"/>
      <c r="V497" s="143"/>
      <c r="W497" s="162"/>
    </row>
    <row r="498" spans="8:23">
      <c r="I498" s="113" t="s">
        <v>2</v>
      </c>
      <c r="J498" s="114" t="s">
        <v>47</v>
      </c>
      <c r="K498" s="115"/>
      <c r="L498" s="116"/>
      <c r="M498" s="117"/>
      <c r="N498" s="21">
        <f>+M498*3</f>
        <v>0</v>
      </c>
      <c r="O498" s="117"/>
      <c r="P498" s="31">
        <f>IF(O498&gt;25,150,(O498)*6)</f>
        <v>0</v>
      </c>
      <c r="Q498" s="32"/>
      <c r="R498" s="131">
        <f t="shared" si="44"/>
        <v>0</v>
      </c>
      <c r="S498" s="7"/>
      <c r="T498" s="144">
        <v>150</v>
      </c>
      <c r="U498" s="163">
        <f>+T498-T497</f>
        <v>-23.217595038474769</v>
      </c>
      <c r="V498" s="164" t="s">
        <v>144</v>
      </c>
      <c r="W498" s="165">
        <v>0.01</v>
      </c>
    </row>
    <row r="499" spans="8:23">
      <c r="I499" s="27" t="s">
        <v>0</v>
      </c>
      <c r="J499" s="28" t="s">
        <v>7</v>
      </c>
      <c r="K499" s="18"/>
      <c r="L499" s="21">
        <f>+K499*5</f>
        <v>0</v>
      </c>
      <c r="M499" s="20">
        <v>26</v>
      </c>
      <c r="N499" s="21">
        <f>5*M499</f>
        <v>130</v>
      </c>
      <c r="O499" s="22"/>
      <c r="P499" s="23">
        <v>0</v>
      </c>
      <c r="Q499" s="24"/>
      <c r="R499" s="124">
        <f t="shared" si="44"/>
        <v>130</v>
      </c>
      <c r="S499" s="7"/>
      <c r="T499" s="26"/>
      <c r="W499" s="162"/>
    </row>
    <row r="500" spans="8:23">
      <c r="I500" s="27" t="s">
        <v>5</v>
      </c>
      <c r="J500" s="30" t="s">
        <v>71</v>
      </c>
      <c r="K500" s="18"/>
      <c r="L500" s="21">
        <f>+K500*3</f>
        <v>0</v>
      </c>
      <c r="M500" s="36"/>
      <c r="N500" s="21">
        <f>+M500*5</f>
        <v>0</v>
      </c>
      <c r="O500" s="36">
        <v>47</v>
      </c>
      <c r="P500" s="31">
        <f t="shared" ref="P500:P520" si="45">IF(O500&gt;25,150,(O500)*6)</f>
        <v>150</v>
      </c>
      <c r="Q500" s="32"/>
      <c r="R500" s="131">
        <f t="shared" si="44"/>
        <v>150</v>
      </c>
      <c r="S500" s="7"/>
      <c r="T500" s="137">
        <v>838.8</v>
      </c>
      <c r="U500" s="138">
        <v>108.71</v>
      </c>
      <c r="V500" s="139">
        <v>730.09</v>
      </c>
      <c r="W500" s="160" t="s">
        <v>52</v>
      </c>
    </row>
    <row r="501" spans="8:23">
      <c r="I501" s="27" t="s">
        <v>27</v>
      </c>
      <c r="J501" s="30" t="s">
        <v>28</v>
      </c>
      <c r="K501" s="18"/>
      <c r="L501" s="21">
        <v>0</v>
      </c>
      <c r="M501" s="36">
        <v>22</v>
      </c>
      <c r="N501" s="21">
        <v>0</v>
      </c>
      <c r="O501" s="36"/>
      <c r="P501" s="31">
        <f t="shared" si="45"/>
        <v>0</v>
      </c>
      <c r="Q501" s="32"/>
      <c r="R501" s="131">
        <f t="shared" si="44"/>
        <v>0</v>
      </c>
      <c r="S501" s="7"/>
      <c r="T501" s="140">
        <f>+U501+V501</f>
        <v>827.20760454190577</v>
      </c>
      <c r="U501" s="5">
        <f>+U500*V501/V500</f>
        <v>107.20760454190578</v>
      </c>
      <c r="V501" s="141">
        <v>720</v>
      </c>
      <c r="W501" s="162"/>
    </row>
    <row r="502" spans="8:23">
      <c r="I502" s="27" t="s">
        <v>8</v>
      </c>
      <c r="J502" s="30" t="s">
        <v>29</v>
      </c>
      <c r="K502" s="35"/>
      <c r="L502" s="21"/>
      <c r="M502" s="36">
        <v>23</v>
      </c>
      <c r="N502" s="21">
        <v>0</v>
      </c>
      <c r="O502" s="36"/>
      <c r="P502" s="31">
        <f t="shared" si="45"/>
        <v>0</v>
      </c>
      <c r="Q502" s="32"/>
      <c r="R502" s="131">
        <f t="shared" si="44"/>
        <v>0</v>
      </c>
      <c r="S502" s="7"/>
      <c r="T502" s="142">
        <f>+T500-T501</f>
        <v>11.592395458094188</v>
      </c>
      <c r="U502" s="5"/>
      <c r="V502" s="143"/>
      <c r="W502" s="4" t="s">
        <v>145</v>
      </c>
    </row>
    <row r="503" spans="8:23">
      <c r="I503" s="27" t="s">
        <v>63</v>
      </c>
      <c r="J503" s="30" t="s">
        <v>33</v>
      </c>
      <c r="K503" s="35"/>
      <c r="L503" s="21"/>
      <c r="M503" s="36"/>
      <c r="N503" s="21">
        <f>+M503*3</f>
        <v>0</v>
      </c>
      <c r="O503" s="36">
        <v>44</v>
      </c>
      <c r="P503" s="31">
        <f t="shared" si="45"/>
        <v>150</v>
      </c>
      <c r="Q503" s="32"/>
      <c r="R503" s="131">
        <f t="shared" si="44"/>
        <v>150</v>
      </c>
      <c r="S503" s="7"/>
      <c r="T503" s="144">
        <v>150</v>
      </c>
      <c r="U503" s="163">
        <f>+T503-T502</f>
        <v>138.40760454190581</v>
      </c>
      <c r="V503" s="164" t="s">
        <v>144</v>
      </c>
      <c r="W503" s="9">
        <f>150-U503</f>
        <v>11.592395458094188</v>
      </c>
    </row>
    <row r="504" spans="8:23">
      <c r="I504" s="27" t="s">
        <v>24</v>
      </c>
      <c r="J504" s="30" t="s">
        <v>30</v>
      </c>
      <c r="K504" s="18"/>
      <c r="L504" s="21">
        <v>0</v>
      </c>
      <c r="M504" s="20"/>
      <c r="N504" s="21">
        <f>+M504*3</f>
        <v>0</v>
      </c>
      <c r="O504" s="36">
        <v>29</v>
      </c>
      <c r="P504" s="31">
        <f t="shared" si="45"/>
        <v>150</v>
      </c>
      <c r="Q504" s="32"/>
      <c r="R504" s="124">
        <f t="shared" si="44"/>
        <v>150</v>
      </c>
      <c r="S504" s="7"/>
      <c r="T504" s="26"/>
      <c r="W504" s="162"/>
    </row>
    <row r="505" spans="8:23">
      <c r="I505" s="27" t="s">
        <v>18</v>
      </c>
      <c r="J505" s="28" t="s">
        <v>72</v>
      </c>
      <c r="K505" s="18"/>
      <c r="L505" s="21">
        <f>+K505*3</f>
        <v>0</v>
      </c>
      <c r="M505" s="20">
        <v>27</v>
      </c>
      <c r="N505" s="21">
        <f>+M505*3</f>
        <v>81</v>
      </c>
      <c r="O505" s="36"/>
      <c r="P505" s="31">
        <f t="shared" si="45"/>
        <v>0</v>
      </c>
      <c r="Q505" s="24"/>
      <c r="R505" s="124">
        <f t="shared" si="44"/>
        <v>81</v>
      </c>
      <c r="S505" s="7"/>
      <c r="T505" s="137">
        <v>964.8</v>
      </c>
      <c r="U505" s="138">
        <v>125.42</v>
      </c>
      <c r="V505" s="139">
        <v>839.38</v>
      </c>
      <c r="W505" s="160" t="s">
        <v>53</v>
      </c>
    </row>
    <row r="506" spans="8:23">
      <c r="H506" s="82" t="s">
        <v>84</v>
      </c>
      <c r="I506" s="83" t="s">
        <v>6</v>
      </c>
      <c r="J506" s="84" t="s">
        <v>99</v>
      </c>
      <c r="K506" s="85"/>
      <c r="L506" s="86">
        <f>+K506*3</f>
        <v>0</v>
      </c>
      <c r="M506" s="87"/>
      <c r="N506" s="86">
        <f t="shared" ref="N506:N523" si="46">+M506*3</f>
        <v>0</v>
      </c>
      <c r="O506" s="88"/>
      <c r="P506" s="89">
        <f t="shared" si="45"/>
        <v>0</v>
      </c>
      <c r="Q506" s="90"/>
      <c r="R506" s="135">
        <f t="shared" si="44"/>
        <v>0</v>
      </c>
      <c r="S506" s="7"/>
      <c r="T506" s="140">
        <f>+U506+V506</f>
        <v>827.58226309895394</v>
      </c>
      <c r="U506" s="5">
        <f>+U505*V506/V505</f>
        <v>107.58226309895399</v>
      </c>
      <c r="V506" s="141">
        <v>720</v>
      </c>
      <c r="W506" s="162"/>
    </row>
    <row r="507" spans="8:23">
      <c r="I507" s="27" t="s">
        <v>31</v>
      </c>
      <c r="J507" s="30" t="s">
        <v>32</v>
      </c>
      <c r="K507" s="35"/>
      <c r="L507" s="21"/>
      <c r="M507" s="36"/>
      <c r="N507" s="21">
        <f t="shared" si="46"/>
        <v>0</v>
      </c>
      <c r="O507" s="36">
        <v>34</v>
      </c>
      <c r="P507" s="31">
        <f t="shared" si="45"/>
        <v>150</v>
      </c>
      <c r="Q507" s="32"/>
      <c r="R507" s="124">
        <f t="shared" si="44"/>
        <v>150</v>
      </c>
      <c r="S507" s="7"/>
      <c r="T507" s="142">
        <f>+T505-T506</f>
        <v>137.21773690104601</v>
      </c>
      <c r="U507" s="5"/>
      <c r="V507" s="143"/>
      <c r="W507" s="4" t="s">
        <v>145</v>
      </c>
    </row>
    <row r="508" spans="8:23">
      <c r="I508" s="27" t="s">
        <v>54</v>
      </c>
      <c r="J508" s="30" t="s">
        <v>55</v>
      </c>
      <c r="K508" s="18"/>
      <c r="L508" s="21">
        <f>+K508*3</f>
        <v>0</v>
      </c>
      <c r="M508" s="20"/>
      <c r="N508" s="21">
        <f t="shared" si="46"/>
        <v>0</v>
      </c>
      <c r="O508" s="36"/>
      <c r="P508" s="31">
        <f t="shared" si="45"/>
        <v>0</v>
      </c>
      <c r="Q508" s="32"/>
      <c r="R508" s="124">
        <f t="shared" si="44"/>
        <v>0</v>
      </c>
      <c r="S508" s="7"/>
      <c r="T508" s="144">
        <v>150</v>
      </c>
      <c r="U508" s="163">
        <f>+T508-T507+0.01</f>
        <v>12.79226309895399</v>
      </c>
      <c r="V508" s="164" t="s">
        <v>144</v>
      </c>
      <c r="W508" s="9">
        <f>150-U508</f>
        <v>137.20773690104602</v>
      </c>
    </row>
    <row r="509" spans="8:23">
      <c r="I509" s="113" t="s">
        <v>10</v>
      </c>
      <c r="J509" s="114" t="s">
        <v>34</v>
      </c>
      <c r="K509" s="115"/>
      <c r="L509" s="116"/>
      <c r="M509" s="117"/>
      <c r="N509" s="116">
        <f t="shared" si="46"/>
        <v>0</v>
      </c>
      <c r="O509" s="117"/>
      <c r="P509" s="31">
        <f t="shared" si="45"/>
        <v>0</v>
      </c>
      <c r="Q509" s="32"/>
      <c r="R509" s="131">
        <f t="shared" si="44"/>
        <v>0</v>
      </c>
      <c r="S509" s="7"/>
      <c r="T509" s="26"/>
      <c r="W509" s="162"/>
    </row>
    <row r="510" spans="8:23">
      <c r="I510" s="113" t="s">
        <v>9</v>
      </c>
      <c r="J510" s="114" t="s">
        <v>35</v>
      </c>
      <c r="K510" s="115"/>
      <c r="L510" s="116"/>
      <c r="M510" s="117"/>
      <c r="N510" s="116">
        <f t="shared" si="46"/>
        <v>0</v>
      </c>
      <c r="O510" s="117">
        <v>50</v>
      </c>
      <c r="P510" s="31">
        <f t="shared" si="45"/>
        <v>150</v>
      </c>
      <c r="Q510" s="32"/>
      <c r="R510" s="131">
        <f t="shared" si="44"/>
        <v>150</v>
      </c>
      <c r="S510" s="7"/>
      <c r="T510" s="137">
        <v>1000.8</v>
      </c>
      <c r="U510" s="138">
        <v>130.1</v>
      </c>
      <c r="V510" s="139">
        <v>870.7</v>
      </c>
      <c r="W510" s="160" t="s">
        <v>74</v>
      </c>
    </row>
    <row r="511" spans="8:23">
      <c r="I511" s="27" t="s">
        <v>36</v>
      </c>
      <c r="J511" s="30" t="s">
        <v>37</v>
      </c>
      <c r="K511" s="35"/>
      <c r="L511" s="21"/>
      <c r="M511" s="36"/>
      <c r="N511" s="21">
        <f t="shared" si="46"/>
        <v>0</v>
      </c>
      <c r="O511" s="36">
        <v>37</v>
      </c>
      <c r="P511" s="31">
        <f t="shared" si="45"/>
        <v>150</v>
      </c>
      <c r="Q511" s="32"/>
      <c r="R511" s="124">
        <f t="shared" si="44"/>
        <v>150</v>
      </c>
      <c r="S511" s="7"/>
      <c r="T511" s="140">
        <f>+U511+V511</f>
        <v>827.58240496152519</v>
      </c>
      <c r="U511" s="5">
        <f>+U510*V511/V510</f>
        <v>107.5824049615252</v>
      </c>
      <c r="V511" s="141">
        <v>720</v>
      </c>
      <c r="W511" s="161">
        <v>740.02</v>
      </c>
    </row>
    <row r="512" spans="8:23">
      <c r="I512" s="27" t="s">
        <v>64</v>
      </c>
      <c r="J512" s="30" t="s">
        <v>65</v>
      </c>
      <c r="K512" s="35"/>
      <c r="L512" s="21"/>
      <c r="M512" s="36">
        <v>21</v>
      </c>
      <c r="N512" s="21">
        <v>0</v>
      </c>
      <c r="O512" s="36"/>
      <c r="P512" s="31">
        <f t="shared" si="45"/>
        <v>0</v>
      </c>
      <c r="Q512" s="32"/>
      <c r="R512" s="124">
        <f t="shared" si="44"/>
        <v>0</v>
      </c>
      <c r="S512" s="7"/>
      <c r="T512" s="142">
        <f>+T510-T511</f>
        <v>173.21759503847477</v>
      </c>
      <c r="U512" s="5"/>
      <c r="V512" s="143"/>
      <c r="W512" s="162"/>
    </row>
    <row r="513" spans="4:23">
      <c r="I513" s="27" t="s">
        <v>13</v>
      </c>
      <c r="J513" s="30" t="s">
        <v>38</v>
      </c>
      <c r="K513" s="35"/>
      <c r="L513" s="21"/>
      <c r="M513" s="36"/>
      <c r="N513" s="21">
        <f t="shared" si="46"/>
        <v>0</v>
      </c>
      <c r="O513" s="36">
        <v>44</v>
      </c>
      <c r="P513" s="31">
        <f t="shared" si="45"/>
        <v>150</v>
      </c>
      <c r="Q513" s="32"/>
      <c r="R513" s="124">
        <f t="shared" si="44"/>
        <v>150</v>
      </c>
      <c r="S513" s="7"/>
      <c r="T513" s="144">
        <v>150</v>
      </c>
      <c r="U513" s="163">
        <f>+T513-T512</f>
        <v>-23.217595038474769</v>
      </c>
      <c r="V513" s="164" t="s">
        <v>144</v>
      </c>
      <c r="W513" s="165">
        <v>0.01</v>
      </c>
    </row>
    <row r="514" spans="4:23">
      <c r="I514" s="27" t="s">
        <v>39</v>
      </c>
      <c r="J514" s="30" t="s">
        <v>40</v>
      </c>
      <c r="K514" s="35"/>
      <c r="L514" s="21"/>
      <c r="M514" s="36"/>
      <c r="N514" s="21">
        <f t="shared" si="46"/>
        <v>0</v>
      </c>
      <c r="O514" s="36"/>
      <c r="P514" s="31">
        <f t="shared" si="45"/>
        <v>0</v>
      </c>
      <c r="Q514" s="32"/>
      <c r="R514" s="124">
        <f t="shared" si="44"/>
        <v>0</v>
      </c>
      <c r="S514" s="7"/>
      <c r="T514" s="26"/>
      <c r="W514" s="162"/>
    </row>
    <row r="515" spans="4:23">
      <c r="H515" s="82" t="s">
        <v>84</v>
      </c>
      <c r="I515" s="83" t="s">
        <v>19</v>
      </c>
      <c r="J515" s="84" t="s">
        <v>20</v>
      </c>
      <c r="K515" s="85"/>
      <c r="L515" s="86">
        <f>+K515*3</f>
        <v>0</v>
      </c>
      <c r="M515" s="87"/>
      <c r="N515" s="86">
        <f t="shared" si="46"/>
        <v>0</v>
      </c>
      <c r="O515" s="88"/>
      <c r="P515" s="89">
        <f t="shared" si="45"/>
        <v>0</v>
      </c>
      <c r="Q515" s="90"/>
      <c r="R515" s="135">
        <f t="shared" si="44"/>
        <v>0</v>
      </c>
      <c r="S515" s="7"/>
      <c r="T515" s="137">
        <v>946.8</v>
      </c>
      <c r="U515" s="138">
        <v>123.08</v>
      </c>
      <c r="V515" s="139">
        <v>823.72</v>
      </c>
      <c r="W515" s="160" t="s">
        <v>51</v>
      </c>
    </row>
    <row r="516" spans="4:23">
      <c r="I516" s="27" t="s">
        <v>41</v>
      </c>
      <c r="J516" s="30" t="s">
        <v>42</v>
      </c>
      <c r="K516" s="35"/>
      <c r="L516" s="21"/>
      <c r="M516" s="36"/>
      <c r="N516" s="21">
        <f t="shared" si="46"/>
        <v>0</v>
      </c>
      <c r="O516" s="36">
        <v>47</v>
      </c>
      <c r="P516" s="31">
        <f t="shared" si="45"/>
        <v>150</v>
      </c>
      <c r="Q516" s="32"/>
      <c r="R516" s="124">
        <f t="shared" si="44"/>
        <v>150</v>
      </c>
      <c r="S516" s="7"/>
      <c r="T516" s="140">
        <f>+U516+V516</f>
        <v>827.5821881221774</v>
      </c>
      <c r="U516" s="5">
        <f>+U515*V516/V515</f>
        <v>107.58218812217744</v>
      </c>
      <c r="V516" s="141">
        <v>720</v>
      </c>
      <c r="W516" s="162"/>
    </row>
    <row r="517" spans="4:23">
      <c r="I517" s="27" t="s">
        <v>26</v>
      </c>
      <c r="J517" s="30" t="s">
        <v>48</v>
      </c>
      <c r="K517" s="18"/>
      <c r="L517" s="21">
        <v>0</v>
      </c>
      <c r="M517" s="20"/>
      <c r="N517" s="21">
        <f t="shared" si="46"/>
        <v>0</v>
      </c>
      <c r="O517" s="36">
        <v>31</v>
      </c>
      <c r="P517" s="31">
        <f t="shared" si="45"/>
        <v>150</v>
      </c>
      <c r="Q517" s="32"/>
      <c r="R517" s="124">
        <f t="shared" si="44"/>
        <v>150</v>
      </c>
      <c r="S517" s="7"/>
      <c r="T517" s="142">
        <f>+T515-T516</f>
        <v>119.21781187782256</v>
      </c>
      <c r="U517" s="5"/>
      <c r="V517" s="143"/>
      <c r="W517" s="4" t="s">
        <v>145</v>
      </c>
    </row>
    <row r="518" spans="4:23">
      <c r="I518" s="27" t="s">
        <v>67</v>
      </c>
      <c r="J518" s="28" t="s">
        <v>68</v>
      </c>
      <c r="K518" s="18"/>
      <c r="L518" s="21">
        <v>0</v>
      </c>
      <c r="M518" s="20"/>
      <c r="N518" s="21">
        <f t="shared" si="46"/>
        <v>0</v>
      </c>
      <c r="O518" s="22"/>
      <c r="P518" s="31">
        <f t="shared" si="45"/>
        <v>0</v>
      </c>
      <c r="Q518" s="24"/>
      <c r="R518" s="124">
        <f t="shared" si="44"/>
        <v>0</v>
      </c>
      <c r="S518" s="7"/>
      <c r="T518" s="144">
        <v>150</v>
      </c>
      <c r="U518" s="163">
        <f>+T518-T517+0.01</f>
        <v>30.792188122177446</v>
      </c>
      <c r="V518" s="164" t="s">
        <v>144</v>
      </c>
      <c r="W518" s="9">
        <f>150-U518</f>
        <v>119.20781187782255</v>
      </c>
    </row>
    <row r="519" spans="4:23">
      <c r="I519" s="27" t="s">
        <v>21</v>
      </c>
      <c r="J519" s="28" t="s">
        <v>22</v>
      </c>
      <c r="K519" s="18"/>
      <c r="L519" s="21">
        <v>0</v>
      </c>
      <c r="M519" s="20"/>
      <c r="N519" s="21">
        <f t="shared" si="46"/>
        <v>0</v>
      </c>
      <c r="O519" s="36">
        <v>38</v>
      </c>
      <c r="P519" s="31">
        <f t="shared" si="45"/>
        <v>150</v>
      </c>
      <c r="Q519" s="24"/>
      <c r="R519" s="124">
        <f t="shared" si="44"/>
        <v>150</v>
      </c>
      <c r="S519" s="7"/>
      <c r="T519" s="26"/>
      <c r="W519" s="162"/>
    </row>
    <row r="520" spans="4:23">
      <c r="I520" s="27" t="s">
        <v>43</v>
      </c>
      <c r="J520" s="28" t="s">
        <v>73</v>
      </c>
      <c r="K520" s="18"/>
      <c r="L520" s="21">
        <v>0</v>
      </c>
      <c r="M520" s="20"/>
      <c r="N520" s="21">
        <f t="shared" si="46"/>
        <v>0</v>
      </c>
      <c r="O520" s="36">
        <v>36</v>
      </c>
      <c r="P520" s="31">
        <f t="shared" si="45"/>
        <v>150</v>
      </c>
      <c r="Q520" s="24"/>
      <c r="R520" s="124">
        <f t="shared" si="44"/>
        <v>150</v>
      </c>
      <c r="S520" s="7"/>
      <c r="T520" s="137">
        <v>946.8</v>
      </c>
      <c r="U520" s="138">
        <v>117.69</v>
      </c>
      <c r="V520" s="139">
        <v>829.11</v>
      </c>
      <c r="W520" s="160" t="s">
        <v>49</v>
      </c>
    </row>
    <row r="521" spans="4:23">
      <c r="I521" s="27" t="s">
        <v>44</v>
      </c>
      <c r="J521" s="30" t="s">
        <v>45</v>
      </c>
      <c r="K521" s="27"/>
      <c r="L521" s="21">
        <f>+K521*3</f>
        <v>0</v>
      </c>
      <c r="M521" s="36">
        <v>16</v>
      </c>
      <c r="N521" s="21">
        <f t="shared" si="46"/>
        <v>48</v>
      </c>
      <c r="O521" s="36"/>
      <c r="P521" s="31">
        <f>IF(O521&gt;25,150,(O521)*6)</f>
        <v>0</v>
      </c>
      <c r="Q521" s="32"/>
      <c r="R521" s="124">
        <f t="shared" si="44"/>
        <v>48</v>
      </c>
      <c r="S521" s="130"/>
      <c r="T521" s="140">
        <f>+U521+V521</f>
        <v>822.20212034591304</v>
      </c>
      <c r="U521" s="5">
        <f>+U520*V521/V520</f>
        <v>102.20212034591309</v>
      </c>
      <c r="V521" s="141">
        <v>720</v>
      </c>
      <c r="W521" s="162"/>
    </row>
    <row r="522" spans="4:23" s="4" customFormat="1">
      <c r="D522" s="3"/>
      <c r="F522" s="166"/>
      <c r="I522" s="113" t="s">
        <v>14</v>
      </c>
      <c r="J522" s="114" t="s">
        <v>66</v>
      </c>
      <c r="K522" s="120"/>
      <c r="L522" s="116">
        <f>+K522*3</f>
        <v>0</v>
      </c>
      <c r="M522" s="121"/>
      <c r="N522" s="21">
        <f t="shared" si="46"/>
        <v>0</v>
      </c>
      <c r="O522" s="117">
        <v>45</v>
      </c>
      <c r="P522" s="31">
        <f>IF(O522&gt;25,150,(O522)*6)</f>
        <v>150</v>
      </c>
      <c r="Q522" s="32"/>
      <c r="R522" s="131">
        <f t="shared" si="44"/>
        <v>150</v>
      </c>
      <c r="S522" s="10"/>
      <c r="T522" s="142">
        <f>+T520-T521</f>
        <v>124.59787965408691</v>
      </c>
      <c r="U522" s="5"/>
      <c r="V522" s="143"/>
      <c r="W522" s="4" t="s">
        <v>145</v>
      </c>
    </row>
    <row r="523" spans="4:23">
      <c r="I523" s="27" t="s">
        <v>15</v>
      </c>
      <c r="J523" s="28" t="s">
        <v>16</v>
      </c>
      <c r="K523" s="18"/>
      <c r="L523" s="21">
        <f>+K523*3</f>
        <v>0</v>
      </c>
      <c r="M523" s="20">
        <v>29</v>
      </c>
      <c r="N523" s="21">
        <f t="shared" si="46"/>
        <v>87</v>
      </c>
      <c r="O523" s="36"/>
      <c r="P523" s="23">
        <f t="shared" ref="P523:P531" si="47">IF(O523&gt;25,150,(O523)*6)</f>
        <v>0</v>
      </c>
      <c r="Q523" s="24"/>
      <c r="R523" s="124">
        <f t="shared" si="44"/>
        <v>87</v>
      </c>
      <c r="S523" s="130"/>
      <c r="T523" s="144">
        <v>150</v>
      </c>
      <c r="U523" s="163">
        <f>+T523-T522</f>
        <v>25.40212034591309</v>
      </c>
      <c r="V523" s="164" t="s">
        <v>144</v>
      </c>
      <c r="W523" s="9">
        <f>150-U523</f>
        <v>124.59787965408691</v>
      </c>
    </row>
    <row r="524" spans="4:23">
      <c r="I524" s="27" t="s">
        <v>17</v>
      </c>
      <c r="J524" s="30" t="s">
        <v>119</v>
      </c>
      <c r="K524" s="35"/>
      <c r="L524" s="21"/>
      <c r="M524" s="36">
        <v>19</v>
      </c>
      <c r="N524" s="21">
        <v>0</v>
      </c>
      <c r="O524" s="36"/>
      <c r="P524" s="31">
        <f t="shared" si="47"/>
        <v>0</v>
      </c>
      <c r="Q524" s="32">
        <v>20</v>
      </c>
      <c r="R524" s="124">
        <f t="shared" si="44"/>
        <v>20</v>
      </c>
      <c r="S524" s="130"/>
      <c r="W524" s="162"/>
    </row>
    <row r="525" spans="4:23">
      <c r="I525" s="113" t="s">
        <v>75</v>
      </c>
      <c r="J525" s="114" t="s">
        <v>76</v>
      </c>
      <c r="K525" s="115"/>
      <c r="L525" s="116"/>
      <c r="M525" s="117"/>
      <c r="N525" s="116">
        <f>+M525*3</f>
        <v>0</v>
      </c>
      <c r="O525" s="117">
        <v>23</v>
      </c>
      <c r="P525" s="31">
        <f t="shared" si="47"/>
        <v>138</v>
      </c>
      <c r="Q525" s="32"/>
      <c r="R525" s="131">
        <f t="shared" si="44"/>
        <v>138</v>
      </c>
      <c r="S525" s="130"/>
      <c r="T525" s="137">
        <v>1054.8</v>
      </c>
      <c r="U525" s="138">
        <v>136.18</v>
      </c>
      <c r="V525" s="139">
        <v>918.62</v>
      </c>
      <c r="W525" s="160" t="s">
        <v>50</v>
      </c>
    </row>
    <row r="526" spans="4:23">
      <c r="I526" s="113" t="s">
        <v>146</v>
      </c>
      <c r="J526" s="114" t="s">
        <v>55</v>
      </c>
      <c r="K526" s="115"/>
      <c r="L526" s="116"/>
      <c r="M526" s="117">
        <v>21</v>
      </c>
      <c r="N526" s="116">
        <v>0</v>
      </c>
      <c r="O526" s="117"/>
      <c r="P526" s="31">
        <f t="shared" si="47"/>
        <v>0</v>
      </c>
      <c r="Q526" s="32"/>
      <c r="R526" s="131">
        <f t="shared" si="44"/>
        <v>0</v>
      </c>
      <c r="S526" s="130"/>
      <c r="T526" s="140">
        <f>+U526+V526</f>
        <v>826.73575580762451</v>
      </c>
      <c r="U526" s="5">
        <f>+U525*V526/V525</f>
        <v>106.73575580762449</v>
      </c>
      <c r="V526" s="141">
        <v>720</v>
      </c>
      <c r="W526" s="161">
        <v>788</v>
      </c>
    </row>
    <row r="527" spans="4:23">
      <c r="I527" s="113" t="s">
        <v>69</v>
      </c>
      <c r="J527" s="114" t="s">
        <v>70</v>
      </c>
      <c r="K527" s="115"/>
      <c r="L527" s="116">
        <v>0</v>
      </c>
      <c r="M527" s="117"/>
      <c r="N527" s="116">
        <f>+M527*3</f>
        <v>0</v>
      </c>
      <c r="O527" s="117">
        <v>2</v>
      </c>
      <c r="P527" s="31">
        <f t="shared" si="47"/>
        <v>12</v>
      </c>
      <c r="Q527" s="32"/>
      <c r="R527" s="131">
        <f t="shared" si="44"/>
        <v>12</v>
      </c>
      <c r="S527" s="130"/>
      <c r="T527" s="142">
        <f>+T525-T526</f>
        <v>228.06424419237544</v>
      </c>
      <c r="U527" s="5"/>
      <c r="V527" s="143"/>
      <c r="W527" s="162"/>
    </row>
    <row r="528" spans="4:23">
      <c r="I528" s="27" t="s">
        <v>91</v>
      </c>
      <c r="J528" s="30" t="s">
        <v>92</v>
      </c>
      <c r="K528" s="35"/>
      <c r="L528" s="21">
        <v>0</v>
      </c>
      <c r="M528" s="36"/>
      <c r="N528" s="21">
        <f>+M528*3</f>
        <v>0</v>
      </c>
      <c r="O528" s="36">
        <v>19</v>
      </c>
      <c r="P528" s="31">
        <f t="shared" si="47"/>
        <v>114</v>
      </c>
      <c r="Q528" s="32"/>
      <c r="R528" s="124">
        <f t="shared" si="44"/>
        <v>114</v>
      </c>
      <c r="S528" s="130"/>
      <c r="T528" s="144">
        <v>150</v>
      </c>
      <c r="U528" s="163">
        <f>+T528-T527</f>
        <v>-78.06424419237544</v>
      </c>
      <c r="V528" s="164" t="s">
        <v>144</v>
      </c>
      <c r="W528" s="165">
        <v>0.01</v>
      </c>
    </row>
    <row r="529" spans="9:23">
      <c r="I529" s="27" t="s">
        <v>93</v>
      </c>
      <c r="J529" s="28" t="s">
        <v>94</v>
      </c>
      <c r="K529" s="18"/>
      <c r="L529" s="21">
        <v>0</v>
      </c>
      <c r="M529" s="20">
        <v>19</v>
      </c>
      <c r="N529" s="21">
        <v>0</v>
      </c>
      <c r="O529" s="36"/>
      <c r="P529" s="31">
        <f t="shared" si="47"/>
        <v>0</v>
      </c>
      <c r="Q529" s="24"/>
      <c r="R529" s="124">
        <f t="shared" si="44"/>
        <v>0</v>
      </c>
      <c r="S529" s="7"/>
      <c r="W529" s="162"/>
    </row>
    <row r="530" spans="9:23">
      <c r="I530" s="27" t="s">
        <v>120</v>
      </c>
      <c r="J530" s="28" t="s">
        <v>121</v>
      </c>
      <c r="K530" s="18"/>
      <c r="L530" s="21">
        <v>0</v>
      </c>
      <c r="M530" s="20"/>
      <c r="N530" s="21">
        <v>0</v>
      </c>
      <c r="O530" s="36"/>
      <c r="P530" s="31">
        <f t="shared" si="47"/>
        <v>0</v>
      </c>
      <c r="Q530" s="24"/>
      <c r="R530" s="124">
        <f t="shared" si="44"/>
        <v>0</v>
      </c>
      <c r="S530" s="7"/>
      <c r="T530" s="137">
        <v>964.8</v>
      </c>
      <c r="U530" s="138">
        <v>113.27</v>
      </c>
      <c r="V530" s="139">
        <v>851.53</v>
      </c>
      <c r="W530" s="160" t="s">
        <v>57</v>
      </c>
    </row>
    <row r="531" spans="9:23">
      <c r="I531" s="38" t="s">
        <v>125</v>
      </c>
      <c r="J531" s="50" t="s">
        <v>126</v>
      </c>
      <c r="K531" s="51"/>
      <c r="L531" s="52">
        <v>0</v>
      </c>
      <c r="M531" s="53">
        <v>1E-83</v>
      </c>
      <c r="N531" s="52">
        <v>60</v>
      </c>
      <c r="O531" s="79"/>
      <c r="P531" s="54">
        <f t="shared" si="47"/>
        <v>0</v>
      </c>
      <c r="Q531" s="55"/>
      <c r="R531" s="132">
        <f t="shared" si="44"/>
        <v>60</v>
      </c>
      <c r="S531" s="7"/>
      <c r="T531" s="140">
        <f>+U531+V531</f>
        <v>815.77395981351219</v>
      </c>
      <c r="U531" s="5">
        <f>+U530*V531/V530</f>
        <v>95.77395981351215</v>
      </c>
      <c r="V531" s="141">
        <v>720</v>
      </c>
    </row>
    <row r="532" spans="9:23">
      <c r="I532" s="41"/>
      <c r="J532" s="42"/>
      <c r="K532" s="65">
        <f t="shared" ref="K532:Q532" si="48">SUM(K495:K531)</f>
        <v>0</v>
      </c>
      <c r="L532" s="66">
        <f t="shared" si="48"/>
        <v>0</v>
      </c>
      <c r="M532" s="56">
        <f t="shared" si="48"/>
        <v>264</v>
      </c>
      <c r="N532" s="58">
        <f t="shared" si="48"/>
        <v>406</v>
      </c>
      <c r="O532" s="56">
        <f t="shared" si="48"/>
        <v>526</v>
      </c>
      <c r="P532" s="58">
        <f t="shared" si="48"/>
        <v>2064</v>
      </c>
      <c r="Q532" s="58">
        <f t="shared" si="48"/>
        <v>40</v>
      </c>
      <c r="R532" s="57">
        <f t="shared" si="44"/>
        <v>2510</v>
      </c>
      <c r="S532" s="133"/>
      <c r="T532" s="142">
        <f>+T530-T531</f>
        <v>149.02604018648776</v>
      </c>
      <c r="U532" s="5"/>
      <c r="V532" s="143"/>
      <c r="W532" s="4" t="s">
        <v>145</v>
      </c>
    </row>
    <row r="533" spans="9:23">
      <c r="L533" s="167" t="s">
        <v>105</v>
      </c>
      <c r="M533" s="168">
        <v>245</v>
      </c>
      <c r="N533" s="167" t="s">
        <v>105</v>
      </c>
      <c r="O533" s="168">
        <f>+O534-O532</f>
        <v>-96</v>
      </c>
      <c r="P533" s="168">
        <f>+P534-P532</f>
        <v>-102</v>
      </c>
      <c r="Q533" s="168"/>
      <c r="R533" s="168"/>
      <c r="T533" s="144">
        <v>150</v>
      </c>
      <c r="U533" s="163">
        <f>+T533-T532</f>
        <v>0.97395981351223782</v>
      </c>
      <c r="V533" s="164" t="s">
        <v>144</v>
      </c>
      <c r="W533" s="9">
        <f>150-U533</f>
        <v>149.02604018648776</v>
      </c>
    </row>
    <row r="534" spans="9:23">
      <c r="L534" s="169"/>
      <c r="M534" s="170">
        <f>+M532-M533</f>
        <v>19</v>
      </c>
      <c r="N534" s="171" t="s">
        <v>147</v>
      </c>
      <c r="O534" s="169">
        <v>430</v>
      </c>
      <c r="P534" s="169">
        <v>1962</v>
      </c>
      <c r="Q534" s="171" t="s">
        <v>133</v>
      </c>
      <c r="R534" s="169">
        <f>+R532-R531</f>
        <v>2450</v>
      </c>
    </row>
  </sheetData>
  <mergeCells count="52">
    <mergeCell ref="K493:N493"/>
    <mergeCell ref="O493:P493"/>
    <mergeCell ref="T493:U493"/>
    <mergeCell ref="U411:V411"/>
    <mergeCell ref="I449:R449"/>
    <mergeCell ref="K450:N450"/>
    <mergeCell ref="O450:P450"/>
    <mergeCell ref="U454:V454"/>
    <mergeCell ref="I492:R492"/>
    <mergeCell ref="K364:N364"/>
    <mergeCell ref="O364:P364"/>
    <mergeCell ref="U368:V368"/>
    <mergeCell ref="I406:R406"/>
    <mergeCell ref="K407:N407"/>
    <mergeCell ref="O407:P407"/>
    <mergeCell ref="I363:R363"/>
    <mergeCell ref="K241:N241"/>
    <mergeCell ref="O241:P241"/>
    <mergeCell ref="U245:V245"/>
    <mergeCell ref="I280:R280"/>
    <mergeCell ref="K281:N281"/>
    <mergeCell ref="O281:P281"/>
    <mergeCell ref="U285:V285"/>
    <mergeCell ref="I321:R321"/>
    <mergeCell ref="K322:N322"/>
    <mergeCell ref="O322:P322"/>
    <mergeCell ref="U326:V326"/>
    <mergeCell ref="I240:R240"/>
    <mergeCell ref="K117:N117"/>
    <mergeCell ref="O117:P117"/>
    <mergeCell ref="U121:V121"/>
    <mergeCell ref="I157:R157"/>
    <mergeCell ref="K158:N158"/>
    <mergeCell ref="O158:P158"/>
    <mergeCell ref="U162:V162"/>
    <mergeCell ref="I199:R199"/>
    <mergeCell ref="K200:N200"/>
    <mergeCell ref="O200:P200"/>
    <mergeCell ref="U204:V204"/>
    <mergeCell ref="I116:R116"/>
    <mergeCell ref="I2:R2"/>
    <mergeCell ref="K3:N3"/>
    <mergeCell ref="O3:P3"/>
    <mergeCell ref="U7:V7"/>
    <mergeCell ref="I40:R40"/>
    <mergeCell ref="K41:N41"/>
    <mergeCell ref="O41:P41"/>
    <mergeCell ref="U45:V45"/>
    <mergeCell ref="I78:R78"/>
    <mergeCell ref="K79:N79"/>
    <mergeCell ref="O79:P79"/>
    <mergeCell ref="U83:V83"/>
  </mergeCells>
  <conditionalFormatting sqref="R5:R36 R160:R194 R43:R74 R81:R112 R119:R152 R202:R236 R243:R277 R283:R317 R324:R358 R366:R402 R409:R445 R452:R488 R495:R532">
    <cfRule type="cellIs" dxfId="2" priority="1" operator="lessThanOr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5"/>
  <sheetViews>
    <sheetView zoomScale="85" zoomScaleNormal="85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U35" sqref="U35"/>
    </sheetView>
  </sheetViews>
  <sheetFormatPr baseColWidth="10" defaultRowHeight="15"/>
  <cols>
    <col min="1" max="1" width="5.7109375" customWidth="1"/>
    <col min="2" max="2" width="0" hidden="1" customWidth="1"/>
    <col min="3" max="3" width="20.7109375" hidden="1" customWidth="1"/>
    <col min="4" max="4" width="20.7109375" style="1" hidden="1" customWidth="1"/>
    <col min="5" max="5" width="13.28515625" hidden="1" customWidth="1"/>
    <col min="6" max="6" width="10.42578125" style="2" hidden="1" customWidth="1"/>
    <col min="7" max="7" width="25.28515625" hidden="1" customWidth="1"/>
    <col min="8" max="8" width="12.5703125" bestFit="1" customWidth="1"/>
    <col min="9" max="9" width="8.7109375" customWidth="1"/>
    <col min="10" max="10" width="24.140625" customWidth="1"/>
    <col min="11" max="11" width="8.7109375" customWidth="1"/>
    <col min="12" max="12" width="10.7109375" bestFit="1" customWidth="1"/>
    <col min="13" max="13" width="8.7109375" customWidth="1"/>
    <col min="14" max="14" width="10.7109375" customWidth="1"/>
    <col min="15" max="15" width="8.7109375" customWidth="1"/>
    <col min="16" max="16" width="11.42578125" customWidth="1"/>
    <col min="17" max="17" width="11.7109375" customWidth="1"/>
    <col min="18" max="18" width="12.5703125" bestFit="1" customWidth="1"/>
    <col min="19" max="19" width="2.7109375" customWidth="1"/>
    <col min="20" max="20" width="13.28515625" customWidth="1"/>
    <col min="21" max="21" width="11.5703125" style="181" customWidth="1"/>
    <col min="22" max="22" width="10.7109375" customWidth="1"/>
    <col min="23" max="23" width="20.7109375" customWidth="1"/>
    <col min="24" max="24" width="2" customWidth="1"/>
    <col min="25" max="25" width="11.85546875" customWidth="1"/>
    <col min="26" max="26" width="20" customWidth="1"/>
    <col min="27" max="27" width="11.7109375" customWidth="1"/>
    <col min="28" max="28" width="11" customWidth="1"/>
    <col min="29" max="29" width="10.7109375" customWidth="1"/>
    <col min="30" max="30" width="10.42578125" customWidth="1"/>
    <col min="31" max="31" width="12.28515625" customWidth="1"/>
    <col min="32" max="32" width="9.42578125" customWidth="1"/>
    <col min="33" max="33" width="9.85546875" customWidth="1"/>
    <col min="34" max="34" width="9.5703125" customWidth="1"/>
  </cols>
  <sheetData>
    <row r="1" spans="8:32" ht="5.0999999999999996" customHeight="1"/>
    <row r="2" spans="8:32">
      <c r="H2" s="357"/>
      <c r="I2" s="409" t="s">
        <v>262</v>
      </c>
      <c r="J2" s="409"/>
      <c r="K2" s="409"/>
      <c r="L2" s="409"/>
      <c r="M2" s="409"/>
      <c r="N2" s="409"/>
      <c r="O2" s="409"/>
      <c r="P2" s="409"/>
      <c r="Q2" s="409"/>
      <c r="R2" s="409"/>
      <c r="S2" s="357"/>
      <c r="T2" s="359"/>
      <c r="U2" s="357"/>
    </row>
    <row r="3" spans="8:32">
      <c r="H3" s="357"/>
      <c r="I3" s="358"/>
      <c r="J3" s="358"/>
      <c r="K3" s="410" t="s">
        <v>58</v>
      </c>
      <c r="L3" s="411"/>
      <c r="M3" s="411"/>
      <c r="N3" s="412"/>
      <c r="O3" s="411" t="s">
        <v>59</v>
      </c>
      <c r="P3" s="412"/>
      <c r="Q3" s="358"/>
      <c r="R3" s="358"/>
      <c r="S3" s="413">
        <f ca="1">+TODAY()</f>
        <v>43292</v>
      </c>
      <c r="T3" s="414"/>
      <c r="U3" s="414"/>
    </row>
    <row r="4" spans="8:32" ht="34.5">
      <c r="H4" s="357"/>
      <c r="I4" s="360" t="s">
        <v>11</v>
      </c>
      <c r="J4" s="360" t="s">
        <v>3</v>
      </c>
      <c r="K4" s="361" t="s">
        <v>23</v>
      </c>
      <c r="L4" s="361" t="s">
        <v>77</v>
      </c>
      <c r="M4" s="361" t="s">
        <v>23</v>
      </c>
      <c r="N4" s="361" t="s">
        <v>77</v>
      </c>
      <c r="O4" s="363" t="s">
        <v>23</v>
      </c>
      <c r="P4" s="363" t="s">
        <v>263</v>
      </c>
      <c r="Q4" s="364" t="s">
        <v>264</v>
      </c>
      <c r="R4" s="365" t="s">
        <v>60</v>
      </c>
      <c r="S4" s="366"/>
      <c r="T4" s="357"/>
      <c r="U4" s="357"/>
    </row>
    <row r="5" spans="8:32">
      <c r="H5" s="357"/>
      <c r="I5" s="16" t="s">
        <v>61</v>
      </c>
      <c r="J5" s="349" t="s">
        <v>62</v>
      </c>
      <c r="K5" s="18"/>
      <c r="L5" s="184">
        <f>+K5*3</f>
        <v>0</v>
      </c>
      <c r="M5" s="117"/>
      <c r="N5" s="23">
        <v>0</v>
      </c>
      <c r="O5" s="330"/>
      <c r="P5" s="331"/>
      <c r="Q5" s="210"/>
      <c r="R5" s="211">
        <f>+L5+N5+P5+Q5</f>
        <v>0</v>
      </c>
      <c r="S5" s="7"/>
      <c r="T5" s="400">
        <v>828</v>
      </c>
      <c r="U5" s="401">
        <v>107.64</v>
      </c>
      <c r="V5" s="402">
        <v>720.36</v>
      </c>
      <c r="W5" s="280" t="s">
        <v>51</v>
      </c>
      <c r="Y5" s="289" t="s">
        <v>234</v>
      </c>
      <c r="Z5" s="169"/>
      <c r="AA5" s="169"/>
      <c r="AB5" s="169"/>
      <c r="AC5" s="169" t="s">
        <v>229</v>
      </c>
      <c r="AD5" s="169" t="s">
        <v>213</v>
      </c>
      <c r="AE5" s="169"/>
      <c r="AF5" s="169"/>
    </row>
    <row r="6" spans="8:32">
      <c r="H6" s="357"/>
      <c r="I6" s="113" t="s">
        <v>1</v>
      </c>
      <c r="J6" s="351" t="s">
        <v>56</v>
      </c>
      <c r="K6" s="120"/>
      <c r="L6" s="215">
        <f>+K6*3</f>
        <v>0</v>
      </c>
      <c r="M6" s="117"/>
      <c r="N6" s="31">
        <v>0</v>
      </c>
      <c r="O6" s="332">
        <v>40</v>
      </c>
      <c r="P6" s="333">
        <f>IF(O6&gt;25,150,(O6)*6)</f>
        <v>150</v>
      </c>
      <c r="Q6" s="196"/>
      <c r="R6" s="23">
        <f t="shared" ref="R6:R40" si="0">+L6+N6+P6+Q6</f>
        <v>150</v>
      </c>
      <c r="S6" s="7"/>
      <c r="T6" s="140">
        <f>+U6+V6</f>
        <v>827.58620689655174</v>
      </c>
      <c r="U6" s="284">
        <f>+U5*V6/V5</f>
        <v>107.58620689655173</v>
      </c>
      <c r="V6" s="141">
        <v>720</v>
      </c>
      <c r="W6" s="161"/>
      <c r="Y6" s="169" t="s">
        <v>228</v>
      </c>
      <c r="Z6" s="169" t="s">
        <v>227</v>
      </c>
      <c r="AA6" s="169"/>
      <c r="AB6" s="169"/>
      <c r="AC6" s="169" t="s">
        <v>226</v>
      </c>
      <c r="AD6" s="169" t="s">
        <v>213</v>
      </c>
      <c r="AE6" s="169"/>
      <c r="AF6" s="169"/>
    </row>
    <row r="7" spans="8:32">
      <c r="H7" s="357"/>
      <c r="I7" s="113" t="s">
        <v>2</v>
      </c>
      <c r="J7" s="351" t="s">
        <v>47</v>
      </c>
      <c r="K7" s="115"/>
      <c r="L7" s="215"/>
      <c r="M7" s="117"/>
      <c r="N7" s="31">
        <f>+M7*3</f>
        <v>0</v>
      </c>
      <c r="O7" s="332">
        <v>38</v>
      </c>
      <c r="P7" s="333">
        <f>IF(O7&gt;25,150,(O7)*6)</f>
        <v>150</v>
      </c>
      <c r="Q7" s="195"/>
      <c r="R7" s="31">
        <f t="shared" si="0"/>
        <v>150</v>
      </c>
      <c r="S7" s="7"/>
      <c r="T7" s="142">
        <f>+T5-T6</f>
        <v>0.41379310344825626</v>
      </c>
      <c r="U7" s="183"/>
      <c r="V7" s="143"/>
      <c r="W7" s="4" t="s">
        <v>145</v>
      </c>
      <c r="Y7" s="169" t="s">
        <v>225</v>
      </c>
      <c r="Z7" s="169" t="s">
        <v>224</v>
      </c>
      <c r="AA7" s="169" t="s">
        <v>223</v>
      </c>
      <c r="AB7" s="169">
        <v>43256</v>
      </c>
      <c r="AC7" s="169" t="s">
        <v>222</v>
      </c>
      <c r="AD7" s="169">
        <v>2018</v>
      </c>
      <c r="AE7" s="169"/>
      <c r="AF7" s="169"/>
    </row>
    <row r="8" spans="8:32">
      <c r="H8" s="357"/>
      <c r="I8" s="397" t="s">
        <v>0</v>
      </c>
      <c r="J8" s="350" t="s">
        <v>7</v>
      </c>
      <c r="K8" s="18"/>
      <c r="L8" s="213">
        <f>+K8*5</f>
        <v>0</v>
      </c>
      <c r="M8" s="22"/>
      <c r="N8" s="23">
        <f>5*M8</f>
        <v>0</v>
      </c>
      <c r="O8" s="330"/>
      <c r="P8" s="331">
        <v>0</v>
      </c>
      <c r="Q8" s="196"/>
      <c r="R8" s="23"/>
      <c r="S8" s="7"/>
      <c r="T8" s="144">
        <v>150</v>
      </c>
      <c r="U8" s="163">
        <f>+T8-T7</f>
        <v>149.58620689655174</v>
      </c>
      <c r="V8" s="164" t="s">
        <v>232</v>
      </c>
      <c r="W8" s="9">
        <f>150-U8</f>
        <v>0.41379310344825626</v>
      </c>
      <c r="Y8" s="169" t="s">
        <v>221</v>
      </c>
      <c r="Z8" s="169" t="s">
        <v>220</v>
      </c>
      <c r="AA8" s="169" t="s">
        <v>219</v>
      </c>
      <c r="AB8" s="169" t="s">
        <v>218</v>
      </c>
      <c r="AC8" s="169" t="s">
        <v>217</v>
      </c>
      <c r="AD8" s="169">
        <v>43348</v>
      </c>
      <c r="AE8" s="169"/>
      <c r="AF8" s="169"/>
    </row>
    <row r="9" spans="8:32">
      <c r="H9" s="357"/>
      <c r="I9" s="397" t="s">
        <v>5</v>
      </c>
      <c r="J9" s="352" t="s">
        <v>71</v>
      </c>
      <c r="K9" s="18"/>
      <c r="L9" s="213">
        <f>+K9*3</f>
        <v>0</v>
      </c>
      <c r="M9" s="398"/>
      <c r="N9" s="31">
        <f>+M9*3</f>
        <v>0</v>
      </c>
      <c r="O9" s="334"/>
      <c r="P9" s="333">
        <f t="shared" ref="P9:P27" si="1">IF(O9&gt;25,150,(O9)*6)</f>
        <v>0</v>
      </c>
      <c r="Q9" s="196"/>
      <c r="R9" s="31">
        <f t="shared" si="0"/>
        <v>0</v>
      </c>
      <c r="S9" s="7"/>
      <c r="T9" s="26"/>
      <c r="W9" s="162"/>
      <c r="Y9" s="267" t="s">
        <v>216</v>
      </c>
      <c r="Z9" s="267" t="s">
        <v>215</v>
      </c>
      <c r="AA9" s="267" t="s">
        <v>214</v>
      </c>
      <c r="AB9" s="267" t="s">
        <v>213</v>
      </c>
      <c r="AC9" s="267" t="s">
        <v>212</v>
      </c>
      <c r="AD9" s="267" t="s">
        <v>211</v>
      </c>
      <c r="AE9" s="267"/>
      <c r="AF9" s="267"/>
    </row>
    <row r="10" spans="8:32" ht="17.25" thickBot="1">
      <c r="H10" s="357"/>
      <c r="I10" s="397" t="s">
        <v>27</v>
      </c>
      <c r="J10" s="352" t="s">
        <v>28</v>
      </c>
      <c r="K10" s="18"/>
      <c r="L10" s="213">
        <v>0</v>
      </c>
      <c r="M10" s="398"/>
      <c r="N10" s="31">
        <v>0</v>
      </c>
      <c r="O10" s="334">
        <v>1</v>
      </c>
      <c r="P10" s="333">
        <f t="shared" si="1"/>
        <v>6</v>
      </c>
      <c r="Q10" s="195"/>
      <c r="R10" s="31">
        <f t="shared" si="0"/>
        <v>6</v>
      </c>
      <c r="S10" s="7"/>
      <c r="T10" s="400">
        <v>856</v>
      </c>
      <c r="U10" s="401">
        <v>110.51</v>
      </c>
      <c r="V10" s="402">
        <v>745.49</v>
      </c>
      <c r="W10" s="280" t="s">
        <v>50</v>
      </c>
      <c r="Y10" s="265" t="s">
        <v>210</v>
      </c>
      <c r="Z10" s="265" t="s">
        <v>209</v>
      </c>
      <c r="AA10" s="266" t="s">
        <v>208</v>
      </c>
      <c r="AB10" s="266" t="s">
        <v>207</v>
      </c>
      <c r="AC10" s="266" t="s">
        <v>206</v>
      </c>
      <c r="AD10" s="266" t="s">
        <v>205</v>
      </c>
      <c r="AE10" s="266" t="s">
        <v>204</v>
      </c>
      <c r="AF10" s="266" t="s">
        <v>203</v>
      </c>
    </row>
    <row r="11" spans="8:32">
      <c r="H11" s="356" t="s">
        <v>166</v>
      </c>
      <c r="I11" s="377" t="s">
        <v>8</v>
      </c>
      <c r="J11" s="378" t="s">
        <v>29</v>
      </c>
      <c r="K11" s="381"/>
      <c r="L11" s="379"/>
      <c r="M11" s="325"/>
      <c r="N11" s="326">
        <v>0</v>
      </c>
      <c r="O11" s="325"/>
      <c r="P11" s="326">
        <f t="shared" si="1"/>
        <v>0</v>
      </c>
      <c r="Q11" s="380"/>
      <c r="R11" s="326">
        <f t="shared" si="0"/>
        <v>0</v>
      </c>
      <c r="S11" s="7"/>
      <c r="T11" s="140">
        <f>+U11+V11</f>
        <v>826.7314115548163</v>
      </c>
      <c r="U11" s="284">
        <f>+U10*V11/V10</f>
        <v>106.73141155481629</v>
      </c>
      <c r="V11" s="141">
        <v>720</v>
      </c>
      <c r="W11" s="162"/>
      <c r="Y11" s="240" t="s">
        <v>202</v>
      </c>
      <c r="Z11" s="10" t="s">
        <v>201</v>
      </c>
      <c r="AA11" s="232">
        <v>43102</v>
      </c>
      <c r="AB11" s="239">
        <v>444</v>
      </c>
      <c r="AC11" s="281">
        <v>674</v>
      </c>
      <c r="AD11" s="239">
        <v>87.62</v>
      </c>
      <c r="AE11" s="239">
        <v>586.38</v>
      </c>
      <c r="AF11" s="238">
        <f t="shared" ref="AF11:AF26" si="2">720-AE11</f>
        <v>133.62</v>
      </c>
    </row>
    <row r="12" spans="8:32">
      <c r="H12" s="357"/>
      <c r="I12" s="397" t="s">
        <v>63</v>
      </c>
      <c r="J12" s="352" t="s">
        <v>33</v>
      </c>
      <c r="K12" s="18"/>
      <c r="L12" s="213"/>
      <c r="M12" s="398"/>
      <c r="N12" s="31">
        <f>+M12*3</f>
        <v>0</v>
      </c>
      <c r="O12" s="334">
        <v>37</v>
      </c>
      <c r="P12" s="333">
        <f t="shared" si="1"/>
        <v>150</v>
      </c>
      <c r="Q12" s="195"/>
      <c r="R12" s="31">
        <f t="shared" si="0"/>
        <v>150</v>
      </c>
      <c r="S12" s="7"/>
      <c r="T12" s="142">
        <f>+T10-T11</f>
        <v>29.268588445183696</v>
      </c>
      <c r="U12" s="183"/>
      <c r="V12" s="143"/>
      <c r="W12" s="4" t="s">
        <v>145</v>
      </c>
      <c r="Y12" s="240" t="s">
        <v>200</v>
      </c>
      <c r="Z12" s="10" t="s">
        <v>199</v>
      </c>
      <c r="AA12" s="232">
        <v>42837</v>
      </c>
      <c r="AB12" s="239">
        <v>204</v>
      </c>
      <c r="AC12" s="281">
        <v>344.8</v>
      </c>
      <c r="AD12" s="239">
        <v>44.82</v>
      </c>
      <c r="AE12" s="239">
        <v>299.98</v>
      </c>
      <c r="AF12" s="238">
        <f t="shared" si="2"/>
        <v>420.02</v>
      </c>
    </row>
    <row r="13" spans="8:32">
      <c r="H13" s="357"/>
      <c r="I13" s="397" t="s">
        <v>24</v>
      </c>
      <c r="J13" s="352" t="s">
        <v>30</v>
      </c>
      <c r="K13" s="18"/>
      <c r="L13" s="213">
        <v>0</v>
      </c>
      <c r="M13" s="398"/>
      <c r="N13" s="31">
        <v>0</v>
      </c>
      <c r="O13" s="334"/>
      <c r="P13" s="333">
        <f t="shared" si="1"/>
        <v>0</v>
      </c>
      <c r="Q13" s="195"/>
      <c r="R13" s="31">
        <f t="shared" si="0"/>
        <v>0</v>
      </c>
      <c r="S13" s="7"/>
      <c r="T13" s="144">
        <v>150</v>
      </c>
      <c r="U13" s="163">
        <f>+T13-T12</f>
        <v>120.7314115548163</v>
      </c>
      <c r="V13" s="164" t="s">
        <v>232</v>
      </c>
      <c r="W13" s="9">
        <f>150-U13</f>
        <v>29.268588445183696</v>
      </c>
      <c r="Y13" s="240" t="s">
        <v>198</v>
      </c>
      <c r="Z13" s="10" t="s">
        <v>143</v>
      </c>
      <c r="AA13" s="232">
        <v>42837</v>
      </c>
      <c r="AB13" s="239">
        <v>540</v>
      </c>
      <c r="AC13" s="281">
        <v>786</v>
      </c>
      <c r="AD13" s="239">
        <v>102.18</v>
      </c>
      <c r="AE13" s="239">
        <v>683.82</v>
      </c>
      <c r="AF13" s="238">
        <f t="shared" si="2"/>
        <v>36.17999999999995</v>
      </c>
    </row>
    <row r="14" spans="8:32" ht="15.75" thickBot="1">
      <c r="H14" s="357"/>
      <c r="I14" s="397" t="s">
        <v>18</v>
      </c>
      <c r="J14" s="350" t="s">
        <v>72</v>
      </c>
      <c r="K14" s="18"/>
      <c r="L14" s="213">
        <f>+K14*3</f>
        <v>0</v>
      </c>
      <c r="M14" s="398"/>
      <c r="N14" s="31">
        <f>+M14*3</f>
        <v>0</v>
      </c>
      <c r="O14" s="334">
        <v>33</v>
      </c>
      <c r="P14" s="333">
        <f t="shared" si="1"/>
        <v>150</v>
      </c>
      <c r="Q14" s="195"/>
      <c r="R14" s="31">
        <f t="shared" si="0"/>
        <v>150</v>
      </c>
      <c r="S14" s="7"/>
      <c r="T14" s="26"/>
      <c r="W14" s="162"/>
      <c r="Y14" s="240" t="s">
        <v>197</v>
      </c>
      <c r="Z14" s="10" t="s">
        <v>196</v>
      </c>
      <c r="AA14" s="232">
        <v>42046</v>
      </c>
      <c r="AB14" s="239">
        <v>274.27999999999997</v>
      </c>
      <c r="AC14" s="281">
        <v>323.58999999999997</v>
      </c>
      <c r="AD14" s="239">
        <v>42.07</v>
      </c>
      <c r="AE14" s="239">
        <v>281.52</v>
      </c>
      <c r="AF14" s="238">
        <f t="shared" si="2"/>
        <v>438.48</v>
      </c>
    </row>
    <row r="15" spans="8:32" ht="15.75" thickBot="1">
      <c r="H15" s="356" t="s">
        <v>166</v>
      </c>
      <c r="I15" s="377" t="s">
        <v>31</v>
      </c>
      <c r="J15" s="378" t="s">
        <v>32</v>
      </c>
      <c r="K15" s="381"/>
      <c r="L15" s="379"/>
      <c r="M15" s="325"/>
      <c r="N15" s="326">
        <f t="shared" ref="N15:N25" si="3">+M15*3</f>
        <v>0</v>
      </c>
      <c r="O15" s="325">
        <v>46</v>
      </c>
      <c r="P15" s="326">
        <f t="shared" si="1"/>
        <v>150</v>
      </c>
      <c r="Q15" s="380">
        <v>-74</v>
      </c>
      <c r="R15" s="407">
        <f t="shared" si="0"/>
        <v>76</v>
      </c>
      <c r="S15" s="403"/>
      <c r="T15" s="400">
        <f>644+150</f>
        <v>794</v>
      </c>
      <c r="U15" s="401">
        <v>0</v>
      </c>
      <c r="V15" s="402">
        <v>769.08</v>
      </c>
      <c r="W15" s="378" t="s">
        <v>32</v>
      </c>
      <c r="Y15" s="240" t="s">
        <v>195</v>
      </c>
      <c r="Z15" s="10" t="s">
        <v>194</v>
      </c>
      <c r="AA15" s="232">
        <v>42801</v>
      </c>
      <c r="AB15" s="239">
        <v>144</v>
      </c>
      <c r="AC15" s="281">
        <v>243.6</v>
      </c>
      <c r="AD15" s="239">
        <v>31.67</v>
      </c>
      <c r="AE15" s="239">
        <v>211.93</v>
      </c>
      <c r="AF15" s="238">
        <f t="shared" si="2"/>
        <v>508.07</v>
      </c>
    </row>
    <row r="16" spans="8:32">
      <c r="H16" s="357"/>
      <c r="I16" s="397" t="s">
        <v>54</v>
      </c>
      <c r="J16" s="352" t="s">
        <v>55</v>
      </c>
      <c r="K16" s="18"/>
      <c r="L16" s="213">
        <f>+K16*3</f>
        <v>0</v>
      </c>
      <c r="M16" s="398"/>
      <c r="N16" s="31">
        <f t="shared" si="3"/>
        <v>0</v>
      </c>
      <c r="O16" s="334"/>
      <c r="P16" s="333">
        <f t="shared" si="1"/>
        <v>0</v>
      </c>
      <c r="Q16" s="195"/>
      <c r="R16" s="31">
        <f t="shared" si="0"/>
        <v>0</v>
      </c>
      <c r="S16" s="7"/>
      <c r="T16" s="140">
        <f>+U16+V16</f>
        <v>720</v>
      </c>
      <c r="U16" s="284">
        <f>+U15*V16/V15</f>
        <v>0</v>
      </c>
      <c r="V16" s="141">
        <v>720</v>
      </c>
      <c r="W16" s="162"/>
      <c r="Y16" s="240" t="s">
        <v>193</v>
      </c>
      <c r="Z16" s="10" t="s">
        <v>192</v>
      </c>
      <c r="AA16" s="232">
        <v>42499</v>
      </c>
      <c r="AB16" s="239">
        <v>12</v>
      </c>
      <c r="AC16" s="281">
        <v>21.2</v>
      </c>
      <c r="AD16" s="239">
        <v>2.76</v>
      </c>
      <c r="AE16" s="239">
        <v>18.440000000000001</v>
      </c>
      <c r="AF16" s="238">
        <f t="shared" si="2"/>
        <v>701.56</v>
      </c>
    </row>
    <row r="17" spans="1:32" ht="15.75" thickBot="1">
      <c r="H17" s="357"/>
      <c r="I17" s="113" t="s">
        <v>10</v>
      </c>
      <c r="J17" s="351" t="s">
        <v>34</v>
      </c>
      <c r="K17" s="115"/>
      <c r="L17" s="215"/>
      <c r="M17" s="117"/>
      <c r="N17" s="31">
        <f t="shared" si="3"/>
        <v>0</v>
      </c>
      <c r="O17" s="332">
        <v>32</v>
      </c>
      <c r="P17" s="333">
        <f t="shared" si="1"/>
        <v>150</v>
      </c>
      <c r="Q17" s="195"/>
      <c r="R17" s="31">
        <f t="shared" si="0"/>
        <v>150</v>
      </c>
      <c r="S17" s="7"/>
      <c r="T17" s="142">
        <f>+T15-T16</f>
        <v>74</v>
      </c>
      <c r="U17" s="183"/>
      <c r="V17" s="143"/>
      <c r="W17" s="4" t="s">
        <v>145</v>
      </c>
      <c r="Y17" s="245" t="s">
        <v>191</v>
      </c>
      <c r="Z17" s="244" t="s">
        <v>190</v>
      </c>
      <c r="AA17" s="243">
        <v>42046</v>
      </c>
      <c r="AB17" s="242">
        <v>696</v>
      </c>
      <c r="AC17" s="282">
        <v>968</v>
      </c>
      <c r="AD17" s="242">
        <v>125.45</v>
      </c>
      <c r="AE17" s="241">
        <v>842.55</v>
      </c>
      <c r="AF17" s="319">
        <f t="shared" si="2"/>
        <v>-122.54999999999995</v>
      </c>
    </row>
    <row r="18" spans="1:32" ht="15.75" thickBot="1">
      <c r="H18" s="375"/>
      <c r="I18" s="113" t="s">
        <v>9</v>
      </c>
      <c r="J18" s="351" t="s">
        <v>35</v>
      </c>
      <c r="K18" s="115"/>
      <c r="L18" s="116"/>
      <c r="M18" s="117"/>
      <c r="N18" s="31">
        <f t="shared" si="3"/>
        <v>0</v>
      </c>
      <c r="O18" s="117">
        <v>50</v>
      </c>
      <c r="P18" s="31">
        <f t="shared" si="1"/>
        <v>150</v>
      </c>
      <c r="Q18" s="195">
        <v>-29.27</v>
      </c>
      <c r="R18" s="407">
        <f t="shared" si="0"/>
        <v>120.73</v>
      </c>
      <c r="S18" s="403"/>
      <c r="T18" s="144">
        <v>150</v>
      </c>
      <c r="U18" s="163">
        <f>+T18-T17</f>
        <v>76</v>
      </c>
      <c r="V18" s="164" t="s">
        <v>232</v>
      </c>
      <c r="W18" s="9">
        <f>150-U18</f>
        <v>74</v>
      </c>
      <c r="Y18" s="240" t="s">
        <v>189</v>
      </c>
      <c r="Z18" s="10" t="s">
        <v>188</v>
      </c>
      <c r="AA18" s="232">
        <v>43347</v>
      </c>
      <c r="AB18" s="239">
        <v>432</v>
      </c>
      <c r="AC18" s="281">
        <v>660</v>
      </c>
      <c r="AD18" s="239">
        <v>85.8</v>
      </c>
      <c r="AE18" s="239">
        <v>574.20000000000005</v>
      </c>
      <c r="AF18" s="238">
        <f t="shared" si="2"/>
        <v>145.79999999999995</v>
      </c>
    </row>
    <row r="19" spans="1:32">
      <c r="H19" s="375"/>
      <c r="I19" s="113" t="s">
        <v>36</v>
      </c>
      <c r="J19" s="351" t="s">
        <v>37</v>
      </c>
      <c r="K19" s="115"/>
      <c r="L19" s="116"/>
      <c r="M19" s="117"/>
      <c r="N19" s="31">
        <f t="shared" si="3"/>
        <v>0</v>
      </c>
      <c r="O19" s="117">
        <v>24</v>
      </c>
      <c r="P19" s="31">
        <f t="shared" si="1"/>
        <v>144</v>
      </c>
      <c r="Q19" s="195"/>
      <c r="R19" s="31">
        <f t="shared" si="0"/>
        <v>144</v>
      </c>
      <c r="S19" s="7"/>
      <c r="T19" s="26"/>
      <c r="W19" s="162"/>
      <c r="Y19" s="240" t="s">
        <v>187</v>
      </c>
      <c r="Z19" s="10" t="s">
        <v>186</v>
      </c>
      <c r="AA19" s="232">
        <v>42837</v>
      </c>
      <c r="AB19" s="239">
        <v>504</v>
      </c>
      <c r="AC19" s="281">
        <v>744</v>
      </c>
      <c r="AD19" s="239">
        <v>91.22</v>
      </c>
      <c r="AE19" s="239">
        <v>652.78</v>
      </c>
      <c r="AF19" s="238">
        <f t="shared" si="2"/>
        <v>67.220000000000027</v>
      </c>
    </row>
    <row r="20" spans="1:32" ht="15.75" thickBot="1">
      <c r="H20" s="357"/>
      <c r="I20" s="397" t="s">
        <v>64</v>
      </c>
      <c r="J20" s="352" t="s">
        <v>65</v>
      </c>
      <c r="K20" s="35"/>
      <c r="L20" s="213"/>
      <c r="M20" s="398"/>
      <c r="N20" s="31">
        <v>0</v>
      </c>
      <c r="O20" s="334"/>
      <c r="P20" s="333">
        <f t="shared" si="1"/>
        <v>0</v>
      </c>
      <c r="Q20" s="195"/>
      <c r="R20" s="31">
        <f t="shared" si="0"/>
        <v>0</v>
      </c>
      <c r="S20" s="7"/>
      <c r="T20" s="268"/>
      <c r="U20" s="269"/>
      <c r="V20" s="270"/>
      <c r="W20" s="271"/>
      <c r="Y20" s="240" t="s">
        <v>185</v>
      </c>
      <c r="Z20" s="10" t="s">
        <v>184</v>
      </c>
      <c r="AA20" s="232">
        <v>42125</v>
      </c>
      <c r="AB20" s="239">
        <v>432</v>
      </c>
      <c r="AC20" s="281">
        <v>660</v>
      </c>
      <c r="AD20" s="239">
        <v>80.92</v>
      </c>
      <c r="AE20" s="239">
        <v>579.08000000000004</v>
      </c>
      <c r="AF20" s="238">
        <f t="shared" si="2"/>
        <v>140.91999999999996</v>
      </c>
    </row>
    <row r="21" spans="1:32" ht="15.75" thickBot="1">
      <c r="H21" s="357"/>
      <c r="I21" s="397" t="s">
        <v>13</v>
      </c>
      <c r="J21" s="352" t="s">
        <v>38</v>
      </c>
      <c r="K21" s="35"/>
      <c r="L21" s="213"/>
      <c r="M21" s="398"/>
      <c r="N21" s="31">
        <f t="shared" si="3"/>
        <v>0</v>
      </c>
      <c r="O21" s="334">
        <v>48</v>
      </c>
      <c r="P21" s="333">
        <f t="shared" si="1"/>
        <v>150</v>
      </c>
      <c r="Q21" s="195">
        <v>-0.41</v>
      </c>
      <c r="R21" s="408">
        <f t="shared" si="0"/>
        <v>149.59</v>
      </c>
      <c r="S21" s="403"/>
      <c r="T21" s="268"/>
      <c r="U21" s="269"/>
      <c r="V21" s="270"/>
      <c r="W21" s="273"/>
      <c r="Y21" s="245" t="s">
        <v>183</v>
      </c>
      <c r="Z21" s="244" t="s">
        <v>74</v>
      </c>
      <c r="AA21" s="243">
        <v>42499</v>
      </c>
      <c r="AB21" s="242">
        <v>576</v>
      </c>
      <c r="AC21" s="282">
        <v>828</v>
      </c>
      <c r="AD21" s="242">
        <v>107.64</v>
      </c>
      <c r="AE21" s="241">
        <v>720.36</v>
      </c>
      <c r="AF21" s="319">
        <f t="shared" si="2"/>
        <v>-0.36000000000001364</v>
      </c>
    </row>
    <row r="22" spans="1:32">
      <c r="H22" s="357"/>
      <c r="I22" s="397" t="s">
        <v>39</v>
      </c>
      <c r="J22" s="352" t="s">
        <v>40</v>
      </c>
      <c r="K22" s="35"/>
      <c r="L22" s="213"/>
      <c r="M22" s="398"/>
      <c r="N22" s="31">
        <f t="shared" si="3"/>
        <v>0</v>
      </c>
      <c r="O22" s="334"/>
      <c r="P22" s="333">
        <f t="shared" si="1"/>
        <v>0</v>
      </c>
      <c r="Q22" s="195"/>
      <c r="R22" s="31">
        <f t="shared" si="0"/>
        <v>0</v>
      </c>
      <c r="S22" s="7"/>
      <c r="T22" s="274"/>
      <c r="U22" s="269"/>
      <c r="V22" s="270"/>
      <c r="W22" s="275"/>
      <c r="Y22" s="245" t="s">
        <v>182</v>
      </c>
      <c r="Z22" s="244" t="s">
        <v>51</v>
      </c>
      <c r="AA22" s="243">
        <v>42375</v>
      </c>
      <c r="AB22" s="242">
        <v>624</v>
      </c>
      <c r="AC22" s="282">
        <v>884</v>
      </c>
      <c r="AD22" s="242">
        <v>114.92</v>
      </c>
      <c r="AE22" s="241">
        <v>769.08</v>
      </c>
      <c r="AF22" s="319">
        <f t="shared" si="2"/>
        <v>-49.080000000000041</v>
      </c>
    </row>
    <row r="23" spans="1:32">
      <c r="H23" s="357"/>
      <c r="I23" s="397" t="s">
        <v>41</v>
      </c>
      <c r="J23" s="352" t="s">
        <v>42</v>
      </c>
      <c r="K23" s="35"/>
      <c r="L23" s="213"/>
      <c r="M23" s="398"/>
      <c r="N23" s="31">
        <f t="shared" si="3"/>
        <v>0</v>
      </c>
      <c r="O23" s="334">
        <v>47</v>
      </c>
      <c r="P23" s="333">
        <f t="shared" si="1"/>
        <v>150</v>
      </c>
      <c r="Q23" s="195"/>
      <c r="R23" s="31">
        <f t="shared" si="0"/>
        <v>150</v>
      </c>
      <c r="S23" s="7"/>
      <c r="T23" s="268"/>
      <c r="U23" s="276"/>
      <c r="V23" s="270"/>
      <c r="W23" s="276"/>
      <c r="Y23" s="240" t="s">
        <v>181</v>
      </c>
      <c r="Z23" s="10" t="s">
        <v>180</v>
      </c>
      <c r="AA23" s="232">
        <v>42375</v>
      </c>
      <c r="AB23" s="239">
        <v>492</v>
      </c>
      <c r="AC23" s="281">
        <v>730</v>
      </c>
      <c r="AD23" s="239">
        <v>94.9</v>
      </c>
      <c r="AE23" s="239">
        <v>635.1</v>
      </c>
      <c r="AF23" s="238">
        <f t="shared" si="2"/>
        <v>84.899999999999977</v>
      </c>
    </row>
    <row r="24" spans="1:32">
      <c r="H24" s="357"/>
      <c r="I24" s="397" t="s">
        <v>26</v>
      </c>
      <c r="J24" s="352" t="s">
        <v>48</v>
      </c>
      <c r="K24" s="18"/>
      <c r="L24" s="213">
        <v>0</v>
      </c>
      <c r="M24" s="398"/>
      <c r="N24" s="31">
        <f t="shared" si="3"/>
        <v>0</v>
      </c>
      <c r="O24" s="334">
        <v>2</v>
      </c>
      <c r="P24" s="333">
        <f t="shared" si="1"/>
        <v>12</v>
      </c>
      <c r="Q24" s="195"/>
      <c r="R24" s="31">
        <f>+L24+N27+P24+Q24</f>
        <v>12</v>
      </c>
      <c r="S24" s="7"/>
      <c r="T24" s="268"/>
      <c r="U24" s="269"/>
      <c r="V24" s="270"/>
      <c r="W24" s="275"/>
      <c r="Y24" s="240" t="s">
        <v>179</v>
      </c>
      <c r="Z24" s="10" t="s">
        <v>49</v>
      </c>
      <c r="AA24" s="232">
        <v>42897</v>
      </c>
      <c r="AB24" s="239">
        <v>12</v>
      </c>
      <c r="AC24" s="281">
        <v>21.2</v>
      </c>
      <c r="AD24" s="239">
        <v>2.64</v>
      </c>
      <c r="AE24" s="239">
        <v>18.559999999999999</v>
      </c>
      <c r="AF24" s="238">
        <f t="shared" si="2"/>
        <v>701.44</v>
      </c>
    </row>
    <row r="25" spans="1:32">
      <c r="H25" s="357"/>
      <c r="I25" s="397" t="s">
        <v>67</v>
      </c>
      <c r="J25" s="350" t="s">
        <v>68</v>
      </c>
      <c r="K25" s="18"/>
      <c r="L25" s="213">
        <v>0</v>
      </c>
      <c r="M25" s="22"/>
      <c r="N25" s="31">
        <f t="shared" si="3"/>
        <v>0</v>
      </c>
      <c r="O25" s="330"/>
      <c r="P25" s="333">
        <f t="shared" si="1"/>
        <v>0</v>
      </c>
      <c r="Q25" s="196"/>
      <c r="R25" s="31">
        <f t="shared" si="0"/>
        <v>0</v>
      </c>
      <c r="S25" s="7"/>
      <c r="T25" s="268"/>
      <c r="U25" s="269"/>
      <c r="V25" s="270"/>
      <c r="W25" s="271"/>
      <c r="Y25" s="240" t="s">
        <v>178</v>
      </c>
      <c r="Z25" s="10" t="s">
        <v>177</v>
      </c>
      <c r="AA25" s="232" t="s">
        <v>176</v>
      </c>
      <c r="AB25" s="239">
        <v>444</v>
      </c>
      <c r="AC25" s="281">
        <v>674</v>
      </c>
      <c r="AD25" s="239">
        <v>87.62</v>
      </c>
      <c r="AE25" s="239">
        <v>586.38</v>
      </c>
      <c r="AF25" s="238">
        <f t="shared" si="2"/>
        <v>133.62</v>
      </c>
    </row>
    <row r="26" spans="1:32">
      <c r="H26" s="357"/>
      <c r="I26" s="397" t="s">
        <v>21</v>
      </c>
      <c r="J26" s="350" t="s">
        <v>152</v>
      </c>
      <c r="K26" s="18"/>
      <c r="L26" s="213">
        <v>0</v>
      </c>
      <c r="M26" s="22"/>
      <c r="N26" s="31">
        <v>0</v>
      </c>
      <c r="O26" s="334">
        <v>47</v>
      </c>
      <c r="P26" s="333">
        <f t="shared" si="1"/>
        <v>150</v>
      </c>
      <c r="Q26" s="196"/>
      <c r="R26" s="31">
        <f t="shared" si="0"/>
        <v>150</v>
      </c>
      <c r="S26" s="7"/>
      <c r="T26" s="268"/>
      <c r="U26" s="269"/>
      <c r="V26" s="270"/>
      <c r="W26" s="271"/>
      <c r="Y26" s="240" t="s">
        <v>175</v>
      </c>
      <c r="Z26" s="10" t="s">
        <v>57</v>
      </c>
      <c r="AA26" s="232">
        <v>42889</v>
      </c>
      <c r="AB26" s="239">
        <v>528</v>
      </c>
      <c r="AC26" s="281">
        <v>772</v>
      </c>
      <c r="AD26" s="239">
        <v>90.63</v>
      </c>
      <c r="AE26" s="239">
        <v>681.37</v>
      </c>
      <c r="AF26" s="238">
        <f t="shared" si="2"/>
        <v>38.629999999999995</v>
      </c>
    </row>
    <row r="27" spans="1:32">
      <c r="H27" s="375"/>
      <c r="I27" s="113" t="s">
        <v>43</v>
      </c>
      <c r="J27" s="351" t="s">
        <v>73</v>
      </c>
      <c r="K27" s="115"/>
      <c r="L27" s="213">
        <v>0</v>
      </c>
      <c r="M27" s="117"/>
      <c r="N27" s="31">
        <f>+M24*3</f>
        <v>0</v>
      </c>
      <c r="O27" s="117"/>
      <c r="P27" s="31">
        <f t="shared" si="1"/>
        <v>0</v>
      </c>
      <c r="Q27" s="195"/>
      <c r="R27" s="31">
        <f>+L27+N29+P27+Q27</f>
        <v>0</v>
      </c>
      <c r="S27" s="7"/>
      <c r="T27" s="274"/>
      <c r="U27" s="269"/>
      <c r="V27" s="270"/>
      <c r="W27" s="271"/>
      <c r="Y27" s="130"/>
      <c r="Z27" s="237"/>
      <c r="AA27" s="236"/>
      <c r="AB27" s="235">
        <f>SUM(AB11:AB26)</f>
        <v>6358.28</v>
      </c>
      <c r="AC27" s="283">
        <f>SUM(AC11:AC26)</f>
        <v>9334.39</v>
      </c>
      <c r="AD27" s="235">
        <f>SUM(AD11:AD26)</f>
        <v>1192.8600000000001</v>
      </c>
      <c r="AE27" s="235">
        <f>SUM(AE11:AE26)</f>
        <v>8141.53</v>
      </c>
      <c r="AF27" s="234"/>
    </row>
    <row r="28" spans="1:32">
      <c r="H28" s="358"/>
      <c r="I28" s="113" t="s">
        <v>44</v>
      </c>
      <c r="J28" s="351" t="s">
        <v>45</v>
      </c>
      <c r="K28" s="120"/>
      <c r="L28" s="215">
        <f>+K28*3</f>
        <v>0</v>
      </c>
      <c r="M28" s="117"/>
      <c r="N28" s="31">
        <v>0</v>
      </c>
      <c r="O28" s="332">
        <v>43</v>
      </c>
      <c r="P28" s="333">
        <f>IF(O28&gt;25,150,(O28)*6)</f>
        <v>150</v>
      </c>
      <c r="Q28" s="196"/>
      <c r="R28" s="23">
        <f t="shared" si="0"/>
        <v>150</v>
      </c>
      <c r="S28" s="7"/>
      <c r="T28" s="268"/>
      <c r="U28" s="276"/>
      <c r="V28" s="270"/>
      <c r="W28" s="271"/>
      <c r="Y28" s="233"/>
      <c r="Z28" s="10"/>
      <c r="AA28" s="232"/>
      <c r="AB28" s="231"/>
      <c r="AC28" s="231"/>
      <c r="AD28" s="231"/>
      <c r="AE28" s="231"/>
      <c r="AF28" s="230"/>
    </row>
    <row r="29" spans="1:32">
      <c r="A29" s="4"/>
      <c r="B29" s="4"/>
      <c r="C29" s="4"/>
      <c r="D29" s="3"/>
      <c r="E29" s="4"/>
      <c r="F29" s="166"/>
      <c r="G29" s="4"/>
      <c r="H29" s="358"/>
      <c r="I29" s="113" t="s">
        <v>14</v>
      </c>
      <c r="J29" s="351" t="s">
        <v>66</v>
      </c>
      <c r="K29" s="120"/>
      <c r="L29" s="215">
        <f>+K29*3</f>
        <v>0</v>
      </c>
      <c r="M29" s="117"/>
      <c r="N29" s="31">
        <f>+M27*3</f>
        <v>0</v>
      </c>
      <c r="O29" s="332"/>
      <c r="P29" s="333">
        <f>IF(O29&gt;25,150,(O29)*6)</f>
        <v>0</v>
      </c>
      <c r="Q29" s="196"/>
      <c r="R29" s="23">
        <f t="shared" si="0"/>
        <v>0</v>
      </c>
      <c r="S29" s="7"/>
      <c r="T29" s="268"/>
      <c r="U29" s="269"/>
      <c r="V29" s="270"/>
      <c r="W29" s="271"/>
      <c r="Y29" s="289" t="s">
        <v>233</v>
      </c>
      <c r="Z29" s="264"/>
      <c r="AA29" s="264"/>
      <c r="AB29" s="264"/>
      <c r="AC29" s="250" t="s">
        <v>229</v>
      </c>
      <c r="AD29" s="249" t="s">
        <v>213</v>
      </c>
      <c r="AE29" s="249"/>
    </row>
    <row r="30" spans="1:32">
      <c r="H30" s="357"/>
      <c r="I30" s="397" t="s">
        <v>15</v>
      </c>
      <c r="J30" s="350" t="s">
        <v>16</v>
      </c>
      <c r="K30" s="18"/>
      <c r="L30" s="213">
        <f>+K30*3</f>
        <v>0</v>
      </c>
      <c r="M30" s="398"/>
      <c r="N30" s="23">
        <f>5*M30</f>
        <v>0</v>
      </c>
      <c r="O30" s="334"/>
      <c r="P30" s="331">
        <f t="shared" ref="P30:P39" si="4">IF(O30&gt;25,150,(O30)*6)</f>
        <v>0</v>
      </c>
      <c r="Q30" s="196"/>
      <c r="R30" s="23">
        <f t="shared" si="0"/>
        <v>0</v>
      </c>
      <c r="S30" s="7"/>
      <c r="T30" s="268"/>
      <c r="U30" s="269"/>
      <c r="V30" s="270"/>
      <c r="W30" s="271"/>
      <c r="Y30" s="259" t="s">
        <v>228</v>
      </c>
      <c r="Z30" s="263" t="s">
        <v>227</v>
      </c>
      <c r="AA30" s="262"/>
      <c r="AB30" s="262"/>
      <c r="AC30" s="250" t="s">
        <v>226</v>
      </c>
      <c r="AD30" s="261" t="s">
        <v>213</v>
      </c>
      <c r="AE30" s="261"/>
    </row>
    <row r="31" spans="1:32">
      <c r="H31" s="357"/>
      <c r="I31" s="397" t="s">
        <v>17</v>
      </c>
      <c r="J31" s="352" t="s">
        <v>119</v>
      </c>
      <c r="K31" s="35"/>
      <c r="L31" s="213"/>
      <c r="M31" s="398"/>
      <c r="N31" s="31">
        <v>0</v>
      </c>
      <c r="O31" s="334">
        <v>35</v>
      </c>
      <c r="P31" s="333">
        <f t="shared" si="4"/>
        <v>150</v>
      </c>
      <c r="Q31" s="195"/>
      <c r="R31" s="31">
        <f t="shared" si="0"/>
        <v>150</v>
      </c>
      <c r="S31" s="7"/>
      <c r="T31" s="268"/>
      <c r="U31" s="269"/>
      <c r="V31" s="270"/>
      <c r="W31" s="275"/>
      <c r="Y31" s="259" t="s">
        <v>225</v>
      </c>
      <c r="Z31" s="251" t="s">
        <v>224</v>
      </c>
      <c r="AA31" s="250" t="s">
        <v>223</v>
      </c>
      <c r="AB31" s="255">
        <v>43256</v>
      </c>
      <c r="AC31" s="258" t="s">
        <v>222</v>
      </c>
      <c r="AD31" s="257">
        <v>2018</v>
      </c>
      <c r="AE31" s="10"/>
    </row>
    <row r="32" spans="1:32" s="4" customFormat="1">
      <c r="A32"/>
      <c r="B32"/>
      <c r="C32"/>
      <c r="D32" s="1"/>
      <c r="E32"/>
      <c r="F32" s="2"/>
      <c r="G32"/>
      <c r="H32" s="357"/>
      <c r="I32" s="113" t="s">
        <v>75</v>
      </c>
      <c r="J32" s="351" t="s">
        <v>76</v>
      </c>
      <c r="K32" s="115"/>
      <c r="L32" s="215"/>
      <c r="M32" s="117"/>
      <c r="N32" s="31">
        <f>+M32*3</f>
        <v>0</v>
      </c>
      <c r="O32" s="332">
        <v>2</v>
      </c>
      <c r="P32" s="333">
        <f t="shared" si="4"/>
        <v>12</v>
      </c>
      <c r="Q32" s="195"/>
      <c r="R32" s="31">
        <f t="shared" si="0"/>
        <v>12</v>
      </c>
      <c r="S32" s="7"/>
      <c r="T32" s="274"/>
      <c r="U32" s="269"/>
      <c r="V32" s="270"/>
      <c r="W32" s="278"/>
      <c r="Y32" s="252" t="s">
        <v>221</v>
      </c>
      <c r="Z32" s="251" t="s">
        <v>220</v>
      </c>
      <c r="AA32" s="250" t="s">
        <v>219</v>
      </c>
      <c r="AB32" s="254" t="s">
        <v>218</v>
      </c>
      <c r="AC32" s="250" t="s">
        <v>217</v>
      </c>
      <c r="AD32" s="255">
        <v>43348</v>
      </c>
      <c r="AE32" s="249"/>
    </row>
    <row r="33" spans="8:31">
      <c r="H33" s="357"/>
      <c r="I33" s="113" t="s">
        <v>146</v>
      </c>
      <c r="J33" s="351" t="s">
        <v>55</v>
      </c>
      <c r="K33" s="115"/>
      <c r="L33" s="215"/>
      <c r="M33" s="117"/>
      <c r="N33" s="31">
        <v>0</v>
      </c>
      <c r="O33" s="332"/>
      <c r="P33" s="333">
        <f t="shared" si="4"/>
        <v>0</v>
      </c>
      <c r="Q33" s="195"/>
      <c r="R33" s="31">
        <f t="shared" si="0"/>
        <v>0</v>
      </c>
      <c r="S33" s="7"/>
      <c r="T33" s="268"/>
      <c r="U33" s="276"/>
      <c r="V33" s="277"/>
      <c r="W33" s="279"/>
      <c r="Y33" s="252" t="s">
        <v>216</v>
      </c>
      <c r="Z33" s="251" t="s">
        <v>215</v>
      </c>
      <c r="AA33" s="250" t="s">
        <v>214</v>
      </c>
      <c r="AB33" s="249" t="s">
        <v>213</v>
      </c>
      <c r="AC33" s="250" t="s">
        <v>212</v>
      </c>
      <c r="AD33" s="249" t="s">
        <v>211</v>
      </c>
      <c r="AE33" s="249"/>
    </row>
    <row r="34" spans="8:31" ht="17.25" thickBot="1">
      <c r="H34" s="357"/>
      <c r="I34" s="113" t="s">
        <v>69</v>
      </c>
      <c r="J34" s="351" t="s">
        <v>70</v>
      </c>
      <c r="K34" s="115"/>
      <c r="L34" s="215">
        <v>0</v>
      </c>
      <c r="M34" s="117"/>
      <c r="N34" s="31">
        <f>+M34*3</f>
        <v>0</v>
      </c>
      <c r="O34" s="332">
        <v>2</v>
      </c>
      <c r="P34" s="333">
        <f t="shared" si="4"/>
        <v>12</v>
      </c>
      <c r="Q34" s="195"/>
      <c r="R34" s="31">
        <f t="shared" si="0"/>
        <v>12</v>
      </c>
      <c r="S34" s="7"/>
      <c r="T34" s="268"/>
      <c r="U34" s="269"/>
      <c r="V34" s="270"/>
      <c r="W34" s="275"/>
      <c r="Y34" s="247" t="s">
        <v>210</v>
      </c>
      <c r="Z34" s="247" t="s">
        <v>209</v>
      </c>
      <c r="AA34" s="246" t="s">
        <v>208</v>
      </c>
      <c r="AB34" s="246" t="s">
        <v>207</v>
      </c>
      <c r="AC34" s="246" t="s">
        <v>206</v>
      </c>
      <c r="AD34" s="246" t="s">
        <v>205</v>
      </c>
      <c r="AE34" s="246" t="s">
        <v>204</v>
      </c>
    </row>
    <row r="35" spans="8:31">
      <c r="H35" s="357"/>
      <c r="I35" s="397" t="s">
        <v>91</v>
      </c>
      <c r="J35" s="352" t="s">
        <v>92</v>
      </c>
      <c r="K35" s="35"/>
      <c r="L35" s="213">
        <v>0</v>
      </c>
      <c r="M35" s="398"/>
      <c r="N35" s="31">
        <f>+M35*3</f>
        <v>0</v>
      </c>
      <c r="O35" s="334">
        <v>32</v>
      </c>
      <c r="P35" s="333">
        <f t="shared" si="4"/>
        <v>150</v>
      </c>
      <c r="Q35" s="195"/>
      <c r="R35" s="31">
        <f t="shared" si="0"/>
        <v>150</v>
      </c>
      <c r="S35" s="7"/>
      <c r="T35" s="268"/>
      <c r="U35" s="269"/>
      <c r="V35" s="270"/>
      <c r="W35" s="271"/>
      <c r="Y35" s="240" t="s">
        <v>202</v>
      </c>
      <c r="Z35" s="10" t="s">
        <v>201</v>
      </c>
      <c r="AA35" s="232">
        <v>43102</v>
      </c>
      <c r="AB35" s="239">
        <v>444</v>
      </c>
      <c r="AC35" s="239">
        <v>674</v>
      </c>
      <c r="AD35" s="239">
        <v>87.62</v>
      </c>
      <c r="AE35" s="239">
        <v>586.38</v>
      </c>
    </row>
    <row r="36" spans="8:31">
      <c r="H36" s="357"/>
      <c r="I36" s="397" t="s">
        <v>93</v>
      </c>
      <c r="J36" s="350" t="s">
        <v>94</v>
      </c>
      <c r="K36" s="18"/>
      <c r="L36" s="213">
        <v>0</v>
      </c>
      <c r="M36" s="398"/>
      <c r="N36" s="31">
        <v>0</v>
      </c>
      <c r="O36" s="334"/>
      <c r="P36" s="333">
        <f t="shared" si="4"/>
        <v>0</v>
      </c>
      <c r="Q36" s="196"/>
      <c r="R36" s="31">
        <f t="shared" si="0"/>
        <v>0</v>
      </c>
      <c r="S36" s="7"/>
      <c r="T36" s="268"/>
      <c r="U36" s="269"/>
      <c r="V36" s="272"/>
      <c r="W36" s="273"/>
      <c r="Y36" s="240" t="s">
        <v>200</v>
      </c>
      <c r="Z36" s="10" t="s">
        <v>199</v>
      </c>
      <c r="AA36" s="232">
        <v>42837</v>
      </c>
      <c r="AB36" s="239">
        <v>204</v>
      </c>
      <c r="AC36" s="239">
        <v>344.8</v>
      </c>
      <c r="AD36" s="239">
        <v>44.82</v>
      </c>
      <c r="AE36" s="239">
        <v>299.98</v>
      </c>
    </row>
    <row r="37" spans="8:31">
      <c r="H37" s="357"/>
      <c r="I37" s="397" t="s">
        <v>120</v>
      </c>
      <c r="J37" s="350" t="s">
        <v>121</v>
      </c>
      <c r="K37" s="18"/>
      <c r="L37" s="213">
        <v>0</v>
      </c>
      <c r="M37" s="398"/>
      <c r="N37" s="31">
        <v>0</v>
      </c>
      <c r="O37" s="334"/>
      <c r="P37" s="333">
        <f t="shared" si="4"/>
        <v>0</v>
      </c>
      <c r="Q37" s="196"/>
      <c r="R37" s="31">
        <f t="shared" si="0"/>
        <v>0</v>
      </c>
      <c r="S37" s="7"/>
      <c r="T37" s="274"/>
      <c r="U37" s="269"/>
      <c r="V37" s="270"/>
      <c r="W37" s="275"/>
      <c r="Y37" s="240" t="s">
        <v>198</v>
      </c>
      <c r="Z37" s="10" t="s">
        <v>143</v>
      </c>
      <c r="AA37" s="232">
        <v>42837</v>
      </c>
      <c r="AB37" s="239">
        <v>540</v>
      </c>
      <c r="AC37" s="239">
        <v>786</v>
      </c>
      <c r="AD37" s="239">
        <v>102.18</v>
      </c>
      <c r="AE37" s="239">
        <v>683.82</v>
      </c>
    </row>
    <row r="38" spans="8:31">
      <c r="H38" s="357"/>
      <c r="I38" s="397" t="s">
        <v>125</v>
      </c>
      <c r="J38" s="350" t="s">
        <v>126</v>
      </c>
      <c r="K38" s="18"/>
      <c r="L38" s="213">
        <v>0</v>
      </c>
      <c r="M38" s="398"/>
      <c r="N38" s="31">
        <v>0</v>
      </c>
      <c r="O38" s="334"/>
      <c r="P38" s="333">
        <f t="shared" si="4"/>
        <v>0</v>
      </c>
      <c r="Q38" s="196"/>
      <c r="R38" s="31">
        <f t="shared" si="0"/>
        <v>0</v>
      </c>
      <c r="S38" s="7"/>
      <c r="T38" s="268"/>
      <c r="U38" s="276"/>
      <c r="V38" s="277"/>
      <c r="W38" s="276"/>
      <c r="Y38" s="240" t="s">
        <v>197</v>
      </c>
      <c r="Z38" s="10" t="s">
        <v>196</v>
      </c>
      <c r="AA38" s="232">
        <v>42046</v>
      </c>
      <c r="AB38" s="239">
        <v>274.27999999999997</v>
      </c>
      <c r="AC38" s="239">
        <v>323.58999999999997</v>
      </c>
      <c r="AD38" s="239">
        <v>42.07</v>
      </c>
      <c r="AE38" s="239">
        <v>281.52</v>
      </c>
    </row>
    <row r="39" spans="8:31">
      <c r="H39" s="357"/>
      <c r="I39" s="399" t="s">
        <v>158</v>
      </c>
      <c r="J39" s="382" t="s">
        <v>159</v>
      </c>
      <c r="K39" s="51"/>
      <c r="L39" s="383">
        <v>0</v>
      </c>
      <c r="M39" s="384"/>
      <c r="N39" s="54">
        <f>+M39*3</f>
        <v>0</v>
      </c>
      <c r="O39" s="385"/>
      <c r="P39" s="386">
        <f t="shared" si="4"/>
        <v>0</v>
      </c>
      <c r="Q39" s="387"/>
      <c r="R39" s="54">
        <f t="shared" si="0"/>
        <v>0</v>
      </c>
      <c r="S39" s="7"/>
      <c r="T39" s="268"/>
      <c r="U39" s="269"/>
      <c r="V39" s="270"/>
      <c r="W39" s="275"/>
      <c r="Y39" s="240" t="s">
        <v>195</v>
      </c>
      <c r="Z39" s="10" t="s">
        <v>194</v>
      </c>
      <c r="AA39" s="232">
        <v>42801</v>
      </c>
      <c r="AB39" s="239">
        <v>144</v>
      </c>
      <c r="AC39" s="239">
        <v>243.6</v>
      </c>
      <c r="AD39" s="239">
        <v>31.67</v>
      </c>
      <c r="AE39" s="239">
        <v>211.93</v>
      </c>
    </row>
    <row r="40" spans="8:31">
      <c r="I40" s="41"/>
      <c r="J40" s="42"/>
      <c r="K40" s="65">
        <f t="shared" ref="K40:Q40" si="5">SUM(K5:K39)</f>
        <v>0</v>
      </c>
      <c r="L40" s="66">
        <f t="shared" si="5"/>
        <v>0</v>
      </c>
      <c r="M40" s="56">
        <f t="shared" si="5"/>
        <v>0</v>
      </c>
      <c r="N40" s="58">
        <f t="shared" si="5"/>
        <v>0</v>
      </c>
      <c r="O40" s="335">
        <f t="shared" si="5"/>
        <v>559</v>
      </c>
      <c r="P40" s="336">
        <f t="shared" si="5"/>
        <v>2136</v>
      </c>
      <c r="Q40" s="58">
        <f t="shared" si="5"/>
        <v>-103.67999999999999</v>
      </c>
      <c r="R40" s="57">
        <f t="shared" si="0"/>
        <v>2032.32</v>
      </c>
      <c r="S40" s="7"/>
      <c r="T40" s="268"/>
      <c r="U40" s="269"/>
      <c r="V40" s="270"/>
      <c r="W40" s="271"/>
      <c r="Y40" s="240" t="s">
        <v>193</v>
      </c>
      <c r="Z40" s="10" t="s">
        <v>192</v>
      </c>
      <c r="AA40" s="232">
        <v>42499</v>
      </c>
      <c r="AB40" s="239">
        <v>12</v>
      </c>
      <c r="AC40" s="239">
        <v>21.2</v>
      </c>
      <c r="AD40" s="239">
        <v>2.76</v>
      </c>
      <c r="AE40" s="239">
        <v>18.440000000000001</v>
      </c>
    </row>
    <row r="41" spans="8:31">
      <c r="L41" s="167" t="s">
        <v>105</v>
      </c>
      <c r="M41" s="168">
        <v>245</v>
      </c>
      <c r="N41" s="167" t="s">
        <v>105</v>
      </c>
      <c r="O41" s="168"/>
      <c r="P41" s="175">
        <f>+P42-P40</f>
        <v>552</v>
      </c>
      <c r="Q41" s="168"/>
      <c r="R41" s="175">
        <f>+R11+R15</f>
        <v>76</v>
      </c>
      <c r="S41" s="7"/>
      <c r="T41" s="268"/>
      <c r="U41" s="269"/>
      <c r="V41" s="272"/>
      <c r="W41" s="270"/>
      <c r="Y41" s="285" t="s">
        <v>191</v>
      </c>
      <c r="Z41" s="286" t="s">
        <v>190</v>
      </c>
      <c r="AA41" s="287">
        <v>42046</v>
      </c>
      <c r="AB41" s="282">
        <v>696</v>
      </c>
      <c r="AC41" s="282">
        <v>827.2</v>
      </c>
      <c r="AD41" s="282">
        <v>107.21</v>
      </c>
      <c r="AE41" s="288">
        <v>719.99</v>
      </c>
    </row>
    <row r="42" spans="8:31">
      <c r="L42" s="169"/>
      <c r="M42" s="170">
        <f>+M40-M41</f>
        <v>-245</v>
      </c>
      <c r="N42" s="171" t="s">
        <v>147</v>
      </c>
      <c r="O42" s="169"/>
      <c r="P42" s="169">
        <v>2688</v>
      </c>
      <c r="Q42" s="393" t="s">
        <v>133</v>
      </c>
      <c r="R42" s="392">
        <f>+R40-R41</f>
        <v>1956.32</v>
      </c>
      <c r="S42" s="7"/>
      <c r="T42" s="268"/>
      <c r="U42" s="269"/>
      <c r="V42" s="272"/>
      <c r="W42" s="270"/>
      <c r="Y42" s="240" t="s">
        <v>189</v>
      </c>
      <c r="Z42" s="10" t="s">
        <v>188</v>
      </c>
      <c r="AA42" s="232">
        <v>43347</v>
      </c>
      <c r="AB42" s="239">
        <v>432</v>
      </c>
      <c r="AC42" s="239">
        <v>660</v>
      </c>
      <c r="AD42" s="239">
        <v>85.8</v>
      </c>
      <c r="AE42" s="239">
        <v>574.20000000000005</v>
      </c>
    </row>
    <row r="43" spans="8:31">
      <c r="T43" s="274"/>
      <c r="U43" s="269"/>
      <c r="V43" s="270"/>
      <c r="W43" s="278"/>
      <c r="Y43" s="240" t="s">
        <v>187</v>
      </c>
      <c r="Z43" s="10" t="s">
        <v>186</v>
      </c>
      <c r="AA43" s="232">
        <v>42837</v>
      </c>
      <c r="AB43" s="239">
        <v>504</v>
      </c>
      <c r="AC43" s="239">
        <v>744</v>
      </c>
      <c r="AD43" s="239">
        <v>91.22</v>
      </c>
      <c r="AE43" s="239">
        <v>652.78</v>
      </c>
    </row>
    <row r="44" spans="8:31">
      <c r="T44" s="268"/>
      <c r="U44" s="276"/>
      <c r="V44" s="277"/>
      <c r="W44" s="279"/>
      <c r="Y44" s="240" t="s">
        <v>185</v>
      </c>
      <c r="Z44" s="10" t="s">
        <v>184</v>
      </c>
      <c r="AA44" s="232">
        <v>42125</v>
      </c>
      <c r="AB44" s="239">
        <v>432</v>
      </c>
      <c r="AC44" s="239">
        <v>660</v>
      </c>
      <c r="AD44" s="239">
        <v>80.92</v>
      </c>
      <c r="AE44" s="239">
        <v>579.08000000000004</v>
      </c>
    </row>
    <row r="45" spans="8:31">
      <c r="P45" s="67"/>
      <c r="T45" s="270"/>
      <c r="U45" s="269"/>
      <c r="V45" s="270"/>
      <c r="W45" s="270"/>
      <c r="Y45" s="285" t="s">
        <v>183</v>
      </c>
      <c r="Z45" s="286" t="s">
        <v>74</v>
      </c>
      <c r="AA45" s="287">
        <v>42499</v>
      </c>
      <c r="AB45" s="282">
        <v>576</v>
      </c>
      <c r="AC45" s="282">
        <v>827.59</v>
      </c>
      <c r="AD45" s="282">
        <v>107.59</v>
      </c>
      <c r="AE45" s="288">
        <v>720</v>
      </c>
    </row>
    <row r="46" spans="8:31">
      <c r="P46" s="67"/>
      <c r="T46" s="270"/>
      <c r="U46" s="269"/>
      <c r="V46" s="270"/>
      <c r="W46" s="270"/>
      <c r="Y46" s="285" t="s">
        <v>182</v>
      </c>
      <c r="Z46" s="286" t="s">
        <v>51</v>
      </c>
      <c r="AA46" s="287">
        <v>42375</v>
      </c>
      <c r="AB46" s="282">
        <v>624</v>
      </c>
      <c r="AC46" s="282">
        <v>827.6</v>
      </c>
      <c r="AD46" s="282">
        <v>107.59</v>
      </c>
      <c r="AE46" s="288">
        <v>720.01</v>
      </c>
    </row>
    <row r="47" spans="8:31">
      <c r="T47" s="270"/>
      <c r="U47" s="269"/>
      <c r="V47" s="270"/>
      <c r="W47" s="270"/>
      <c r="Y47" s="240" t="s">
        <v>181</v>
      </c>
      <c r="Z47" s="10" t="s">
        <v>180</v>
      </c>
      <c r="AA47" s="232">
        <v>42375</v>
      </c>
      <c r="AB47" s="239">
        <v>492</v>
      </c>
      <c r="AC47" s="239">
        <v>730</v>
      </c>
      <c r="AD47" s="239">
        <v>94.9</v>
      </c>
      <c r="AE47" s="239">
        <v>635.1</v>
      </c>
    </row>
    <row r="48" spans="8:31">
      <c r="T48" s="270"/>
      <c r="U48" s="269"/>
      <c r="V48" s="270"/>
      <c r="W48" s="270"/>
      <c r="Y48" s="240" t="s">
        <v>179</v>
      </c>
      <c r="Z48" s="10" t="s">
        <v>49</v>
      </c>
      <c r="AA48" s="232">
        <v>42897</v>
      </c>
      <c r="AB48" s="239">
        <v>12</v>
      </c>
      <c r="AC48" s="239">
        <v>21.2</v>
      </c>
      <c r="AD48" s="239">
        <v>2.64</v>
      </c>
      <c r="AE48" s="239">
        <v>18.559999999999999</v>
      </c>
    </row>
    <row r="49" spans="20:35">
      <c r="T49" s="270"/>
      <c r="U49" s="269"/>
      <c r="V49" s="270"/>
      <c r="W49" s="270"/>
      <c r="Y49" s="240" t="s">
        <v>178</v>
      </c>
      <c r="Z49" s="10" t="s">
        <v>177</v>
      </c>
      <c r="AA49" s="232" t="s">
        <v>176</v>
      </c>
      <c r="AB49" s="239">
        <v>444</v>
      </c>
      <c r="AC49" s="239">
        <v>674</v>
      </c>
      <c r="AD49" s="239">
        <v>87.62</v>
      </c>
      <c r="AE49" s="239">
        <v>586.38</v>
      </c>
    </row>
    <row r="50" spans="20:35">
      <c r="T50" s="270"/>
      <c r="U50" s="269"/>
      <c r="V50" s="270"/>
      <c r="W50" s="270"/>
      <c r="Y50" s="240" t="s">
        <v>175</v>
      </c>
      <c r="Z50" s="10" t="s">
        <v>57</v>
      </c>
      <c r="AA50" s="232">
        <v>42889</v>
      </c>
      <c r="AB50" s="239">
        <v>528</v>
      </c>
      <c r="AC50" s="239">
        <v>772</v>
      </c>
      <c r="AD50" s="239">
        <v>90.63</v>
      </c>
      <c r="AE50" s="239">
        <v>681.37</v>
      </c>
    </row>
    <row r="51" spans="20:35">
      <c r="T51" s="270"/>
      <c r="U51" s="269"/>
      <c r="V51" s="270"/>
      <c r="W51" s="270"/>
      <c r="Y51" s="130"/>
      <c r="Z51" s="237"/>
      <c r="AA51" s="236"/>
      <c r="AB51" s="235">
        <f>SUM(AB35:AB50)</f>
        <v>6358.28</v>
      </c>
      <c r="AC51" s="235">
        <f>SUM(AC35:AC50)</f>
        <v>9136.7799999999988</v>
      </c>
      <c r="AD51" s="235">
        <f>SUM(AD35:AD50)</f>
        <v>1167.2400000000002</v>
      </c>
      <c r="AE51" s="235">
        <f>SUM(AE35:AE50)</f>
        <v>7969.5400000000009</v>
      </c>
    </row>
    <row r="52" spans="20:35">
      <c r="T52" s="270"/>
      <c r="U52" s="269"/>
      <c r="V52" s="270"/>
      <c r="W52" s="270"/>
    </row>
    <row r="53" spans="20:35">
      <c r="Y53" s="291" t="s">
        <v>230</v>
      </c>
      <c r="Z53" s="292"/>
      <c r="AA53" s="292"/>
      <c r="AB53" s="292"/>
      <c r="AC53" s="293" t="s">
        <v>229</v>
      </c>
      <c r="AD53" s="294" t="s">
        <v>213</v>
      </c>
      <c r="AE53" s="295"/>
      <c r="AF53" s="248"/>
      <c r="AG53" s="249"/>
      <c r="AH53" s="249"/>
      <c r="AI53" s="254"/>
    </row>
    <row r="54" spans="20:35">
      <c r="Y54" s="296" t="s">
        <v>228</v>
      </c>
      <c r="Z54" s="297" t="s">
        <v>227</v>
      </c>
      <c r="AA54" s="298"/>
      <c r="AB54" s="298"/>
      <c r="AC54" s="299" t="s">
        <v>226</v>
      </c>
      <c r="AD54" s="260" t="s">
        <v>213</v>
      </c>
      <c r="AE54" s="300"/>
      <c r="AF54" s="260"/>
      <c r="AG54" s="261"/>
      <c r="AH54" s="261"/>
      <c r="AI54" s="254"/>
    </row>
    <row r="55" spans="20:35">
      <c r="Y55" s="296" t="s">
        <v>225</v>
      </c>
      <c r="Z55" s="301" t="s">
        <v>224</v>
      </c>
      <c r="AA55" s="299" t="s">
        <v>223</v>
      </c>
      <c r="AB55" s="302">
        <v>43256</v>
      </c>
      <c r="AC55" s="303" t="s">
        <v>222</v>
      </c>
      <c r="AD55" s="304">
        <v>2018</v>
      </c>
      <c r="AE55" s="305"/>
      <c r="AF55" s="256"/>
      <c r="AG55" s="10"/>
      <c r="AH55" s="10"/>
      <c r="AI55" s="10"/>
    </row>
    <row r="56" spans="20:35">
      <c r="Y56" s="306" t="s">
        <v>221</v>
      </c>
      <c r="Z56" s="301" t="s">
        <v>220</v>
      </c>
      <c r="AA56" s="299" t="s">
        <v>219</v>
      </c>
      <c r="AB56" s="253" t="s">
        <v>218</v>
      </c>
      <c r="AC56" s="299" t="s">
        <v>217</v>
      </c>
      <c r="AD56" s="302">
        <v>43348</v>
      </c>
      <c r="AE56" s="307"/>
      <c r="AF56" s="248"/>
      <c r="AG56" s="249"/>
      <c r="AH56" s="249"/>
      <c r="AI56" s="254"/>
    </row>
    <row r="57" spans="20:35">
      <c r="Y57" s="306" t="s">
        <v>216</v>
      </c>
      <c r="Z57" s="301" t="s">
        <v>215</v>
      </c>
      <c r="AA57" s="299" t="s">
        <v>214</v>
      </c>
      <c r="AB57" s="248" t="s">
        <v>213</v>
      </c>
      <c r="AC57" s="299" t="s">
        <v>212</v>
      </c>
      <c r="AD57" s="248" t="s">
        <v>211</v>
      </c>
      <c r="AE57" s="307"/>
      <c r="AF57" s="248"/>
      <c r="AG57" s="249"/>
      <c r="AH57" s="249"/>
      <c r="AI57" s="250"/>
    </row>
    <row r="58" spans="20:35" ht="17.25" thickBot="1">
      <c r="Y58" s="308" t="s">
        <v>210</v>
      </c>
      <c r="Z58" s="247" t="s">
        <v>209</v>
      </c>
      <c r="AA58" s="246" t="s">
        <v>208</v>
      </c>
      <c r="AB58" s="246" t="s">
        <v>207</v>
      </c>
      <c r="AC58" s="246" t="s">
        <v>206</v>
      </c>
      <c r="AD58" s="246" t="s">
        <v>205</v>
      </c>
      <c r="AE58" s="309" t="s">
        <v>204</v>
      </c>
      <c r="AF58" s="290"/>
      <c r="AG58" s="246" t="s">
        <v>237</v>
      </c>
      <c r="AH58" s="246" t="s">
        <v>236</v>
      </c>
      <c r="AI58" s="246" t="s">
        <v>235</v>
      </c>
    </row>
    <row r="59" spans="20:35">
      <c r="Y59" s="310" t="s">
        <v>202</v>
      </c>
      <c r="Z59" s="256" t="s">
        <v>201</v>
      </c>
      <c r="AA59" s="311">
        <v>43102</v>
      </c>
      <c r="AB59" s="238">
        <v>444</v>
      </c>
      <c r="AC59" s="238">
        <v>748</v>
      </c>
      <c r="AD59" s="238">
        <v>97.24</v>
      </c>
      <c r="AE59" s="312">
        <v>650.76</v>
      </c>
      <c r="AF59" s="238"/>
      <c r="AG59" s="239">
        <v>74</v>
      </c>
      <c r="AH59" s="239">
        <v>150</v>
      </c>
      <c r="AI59" s="239">
        <v>5</v>
      </c>
    </row>
    <row r="60" spans="20:35">
      <c r="Y60" s="310" t="s">
        <v>200</v>
      </c>
      <c r="Z60" s="256" t="s">
        <v>199</v>
      </c>
      <c r="AA60" s="311">
        <v>42837</v>
      </c>
      <c r="AB60" s="238">
        <v>204</v>
      </c>
      <c r="AC60" s="238">
        <v>378.8</v>
      </c>
      <c r="AD60" s="238">
        <v>49.24</v>
      </c>
      <c r="AE60" s="312">
        <v>329.56</v>
      </c>
      <c r="AF60" s="238"/>
      <c r="AG60" s="239">
        <v>34</v>
      </c>
      <c r="AH60" s="239">
        <v>102</v>
      </c>
      <c r="AI60" s="239">
        <v>4</v>
      </c>
    </row>
    <row r="61" spans="20:35">
      <c r="Y61" s="310" t="s">
        <v>198</v>
      </c>
      <c r="Z61" s="256" t="s">
        <v>143</v>
      </c>
      <c r="AA61" s="311">
        <v>42837</v>
      </c>
      <c r="AB61" s="238">
        <v>540</v>
      </c>
      <c r="AC61" s="238">
        <v>876</v>
      </c>
      <c r="AD61" s="238">
        <v>113.88</v>
      </c>
      <c r="AE61" s="312">
        <v>762.12</v>
      </c>
      <c r="AF61" s="238"/>
      <c r="AG61" s="239">
        <v>90</v>
      </c>
      <c r="AH61" s="239">
        <v>150</v>
      </c>
      <c r="AI61" s="239">
        <v>5</v>
      </c>
    </row>
    <row r="62" spans="20:35">
      <c r="Y62" s="310" t="s">
        <v>197</v>
      </c>
      <c r="Z62" s="256" t="s">
        <v>196</v>
      </c>
      <c r="AA62" s="311">
        <v>42046</v>
      </c>
      <c r="AB62" s="238">
        <v>274.27999999999997</v>
      </c>
      <c r="AC62" s="238">
        <v>369.3</v>
      </c>
      <c r="AD62" s="238">
        <v>48.01</v>
      </c>
      <c r="AE62" s="312">
        <v>321.29000000000002</v>
      </c>
      <c r="AF62" s="238"/>
      <c r="AG62" s="239">
        <v>45.71</v>
      </c>
      <c r="AH62" s="239">
        <v>0</v>
      </c>
      <c r="AI62" s="239">
        <v>3</v>
      </c>
    </row>
    <row r="63" spans="20:35">
      <c r="Y63" s="310" t="s">
        <v>195</v>
      </c>
      <c r="Z63" s="256" t="s">
        <v>194</v>
      </c>
      <c r="AA63" s="311">
        <v>42801</v>
      </c>
      <c r="AB63" s="238">
        <v>144</v>
      </c>
      <c r="AC63" s="238">
        <v>267.60000000000002</v>
      </c>
      <c r="AD63" s="238">
        <v>34.79</v>
      </c>
      <c r="AE63" s="312">
        <v>232.81</v>
      </c>
      <c r="AF63" s="238"/>
      <c r="AG63" s="239">
        <v>24</v>
      </c>
      <c r="AH63" s="239">
        <v>72</v>
      </c>
      <c r="AI63" s="239">
        <v>3</v>
      </c>
    </row>
    <row r="64" spans="20:35">
      <c r="Y64" s="310" t="s">
        <v>193</v>
      </c>
      <c r="Z64" s="256" t="s">
        <v>192</v>
      </c>
      <c r="AA64" s="311">
        <v>42499</v>
      </c>
      <c r="AB64" s="238">
        <v>12</v>
      </c>
      <c r="AC64" s="238">
        <v>23.2</v>
      </c>
      <c r="AD64" s="238">
        <v>3.02</v>
      </c>
      <c r="AE64" s="312">
        <v>20.18</v>
      </c>
      <c r="AF64" s="238"/>
      <c r="AG64" s="239">
        <v>2</v>
      </c>
      <c r="AH64" s="239">
        <v>6</v>
      </c>
      <c r="AI64" s="239">
        <v>1</v>
      </c>
    </row>
    <row r="65" spans="25:35">
      <c r="Y65" s="310" t="s">
        <v>191</v>
      </c>
      <c r="Z65" s="256" t="s">
        <v>190</v>
      </c>
      <c r="AA65" s="311">
        <v>42046</v>
      </c>
      <c r="AB65" s="238">
        <v>696</v>
      </c>
      <c r="AC65" s="238">
        <v>943.2</v>
      </c>
      <c r="AD65" s="238">
        <v>122.24</v>
      </c>
      <c r="AE65" s="312">
        <v>820.96</v>
      </c>
      <c r="AF65" s="238"/>
      <c r="AG65" s="239">
        <v>116</v>
      </c>
      <c r="AH65" s="239">
        <v>9.1999999999999993</v>
      </c>
      <c r="AI65" s="239">
        <v>5</v>
      </c>
    </row>
    <row r="66" spans="25:35">
      <c r="Y66" s="310" t="s">
        <v>189</v>
      </c>
      <c r="Z66" s="256" t="s">
        <v>188</v>
      </c>
      <c r="AA66" s="311">
        <v>43347</v>
      </c>
      <c r="AB66" s="238">
        <v>432</v>
      </c>
      <c r="AC66" s="238">
        <v>732</v>
      </c>
      <c r="AD66" s="238">
        <v>95.16</v>
      </c>
      <c r="AE66" s="312">
        <v>636.84</v>
      </c>
      <c r="AF66" s="238"/>
      <c r="AG66" s="239">
        <v>72</v>
      </c>
      <c r="AH66" s="239">
        <v>150</v>
      </c>
      <c r="AI66" s="239">
        <v>5</v>
      </c>
    </row>
    <row r="67" spans="25:35">
      <c r="Y67" s="310" t="s">
        <v>187</v>
      </c>
      <c r="Z67" s="256" t="s">
        <v>186</v>
      </c>
      <c r="AA67" s="311">
        <v>42837</v>
      </c>
      <c r="AB67" s="238">
        <v>504</v>
      </c>
      <c r="AC67" s="238">
        <v>828</v>
      </c>
      <c r="AD67" s="238">
        <v>101.51</v>
      </c>
      <c r="AE67" s="312">
        <v>726.49</v>
      </c>
      <c r="AF67" s="238"/>
      <c r="AG67" s="239">
        <v>84</v>
      </c>
      <c r="AH67" s="239">
        <v>150</v>
      </c>
      <c r="AI67" s="239">
        <v>5</v>
      </c>
    </row>
    <row r="68" spans="25:35">
      <c r="Y68" s="310" t="s">
        <v>185</v>
      </c>
      <c r="Z68" s="256" t="s">
        <v>184</v>
      </c>
      <c r="AA68" s="311">
        <v>42125</v>
      </c>
      <c r="AB68" s="238">
        <v>432</v>
      </c>
      <c r="AC68" s="238">
        <v>732</v>
      </c>
      <c r="AD68" s="238">
        <v>89.75</v>
      </c>
      <c r="AE68" s="312">
        <v>642.25</v>
      </c>
      <c r="AF68" s="238"/>
      <c r="AG68" s="239">
        <v>72</v>
      </c>
      <c r="AH68" s="239">
        <v>150</v>
      </c>
      <c r="AI68" s="239">
        <v>5</v>
      </c>
    </row>
    <row r="69" spans="25:35">
      <c r="Y69" s="310" t="s">
        <v>183</v>
      </c>
      <c r="Z69" s="256" t="s">
        <v>74</v>
      </c>
      <c r="AA69" s="311">
        <v>42499</v>
      </c>
      <c r="AB69" s="238">
        <v>576</v>
      </c>
      <c r="AC69" s="238">
        <v>923.59</v>
      </c>
      <c r="AD69" s="238">
        <v>120.07</v>
      </c>
      <c r="AE69" s="312">
        <v>803.52</v>
      </c>
      <c r="AF69" s="238"/>
      <c r="AG69" s="239">
        <v>96</v>
      </c>
      <c r="AH69" s="239">
        <v>149.59</v>
      </c>
      <c r="AI69" s="239">
        <v>5</v>
      </c>
    </row>
    <row r="70" spans="25:35">
      <c r="Y70" s="310" t="s">
        <v>182</v>
      </c>
      <c r="Z70" s="256" t="s">
        <v>51</v>
      </c>
      <c r="AA70" s="311">
        <v>42375</v>
      </c>
      <c r="AB70" s="238">
        <v>624</v>
      </c>
      <c r="AC70" s="238">
        <v>931.6</v>
      </c>
      <c r="AD70" s="238">
        <v>121.11</v>
      </c>
      <c r="AE70" s="312">
        <v>810.49</v>
      </c>
      <c r="AF70" s="238"/>
      <c r="AG70" s="239">
        <v>104</v>
      </c>
      <c r="AH70" s="239">
        <v>93.6</v>
      </c>
      <c r="AI70" s="239">
        <v>5</v>
      </c>
    </row>
    <row r="71" spans="25:35">
      <c r="Y71" s="310" t="s">
        <v>181</v>
      </c>
      <c r="Z71" s="256" t="s">
        <v>180</v>
      </c>
      <c r="AA71" s="311">
        <v>42375</v>
      </c>
      <c r="AB71" s="238">
        <v>492</v>
      </c>
      <c r="AC71" s="238">
        <v>812</v>
      </c>
      <c r="AD71" s="238">
        <v>105.56</v>
      </c>
      <c r="AE71" s="312">
        <v>706.44</v>
      </c>
      <c r="AF71" s="238"/>
      <c r="AG71" s="239">
        <v>82</v>
      </c>
      <c r="AH71" s="239">
        <v>150</v>
      </c>
      <c r="AI71" s="239">
        <v>5</v>
      </c>
    </row>
    <row r="72" spans="25:35">
      <c r="Y72" s="310" t="s">
        <v>179</v>
      </c>
      <c r="Z72" s="256" t="s">
        <v>49</v>
      </c>
      <c r="AA72" s="311">
        <v>42897</v>
      </c>
      <c r="AB72" s="238">
        <v>12</v>
      </c>
      <c r="AC72" s="238">
        <v>23.2</v>
      </c>
      <c r="AD72" s="238">
        <v>2.89</v>
      </c>
      <c r="AE72" s="312">
        <v>20.309999999999999</v>
      </c>
      <c r="AF72" s="238"/>
      <c r="AG72" s="239">
        <v>2</v>
      </c>
      <c r="AH72" s="239">
        <v>6</v>
      </c>
      <c r="AI72" s="239">
        <v>1</v>
      </c>
    </row>
    <row r="73" spans="25:35">
      <c r="Y73" s="310" t="s">
        <v>178</v>
      </c>
      <c r="Z73" s="256" t="s">
        <v>177</v>
      </c>
      <c r="AA73" s="311" t="s">
        <v>176</v>
      </c>
      <c r="AB73" s="238">
        <v>444</v>
      </c>
      <c r="AC73" s="238">
        <v>748</v>
      </c>
      <c r="AD73" s="238">
        <v>97.24</v>
      </c>
      <c r="AE73" s="312">
        <v>650.76</v>
      </c>
      <c r="AF73" s="238"/>
      <c r="AG73" s="239">
        <v>74</v>
      </c>
      <c r="AH73" s="239">
        <v>150</v>
      </c>
      <c r="AI73" s="239">
        <v>5</v>
      </c>
    </row>
    <row r="74" spans="25:35">
      <c r="Y74" s="310" t="s">
        <v>175</v>
      </c>
      <c r="Z74" s="256" t="s">
        <v>57</v>
      </c>
      <c r="AA74" s="311">
        <v>42889</v>
      </c>
      <c r="AB74" s="238">
        <v>528</v>
      </c>
      <c r="AC74" s="238">
        <v>860</v>
      </c>
      <c r="AD74" s="238">
        <v>100.97</v>
      </c>
      <c r="AE74" s="312">
        <v>759.03</v>
      </c>
      <c r="AF74" s="238"/>
      <c r="AG74" s="239">
        <v>88</v>
      </c>
      <c r="AH74" s="239">
        <v>150</v>
      </c>
      <c r="AI74" s="239">
        <v>5</v>
      </c>
    </row>
    <row r="75" spans="25:35">
      <c r="Y75" s="313"/>
      <c r="Z75" s="314"/>
      <c r="AA75" s="315"/>
      <c r="AB75" s="316">
        <f>SUM(AB59:AB74)</f>
        <v>6358.28</v>
      </c>
      <c r="AC75" s="316">
        <f>SUM(AC59:AC74)</f>
        <v>10196.490000000002</v>
      </c>
      <c r="AD75" s="316">
        <f>SUM(AD59:AD74)</f>
        <v>1302.6800000000003</v>
      </c>
      <c r="AE75" s="317">
        <f>SUM(AE59:AE74)</f>
        <v>8893.8100000000013</v>
      </c>
      <c r="AF75" s="234"/>
      <c r="AG75" s="235">
        <f>SUM(AG59:AG74)</f>
        <v>1059.71</v>
      </c>
      <c r="AH75" s="235">
        <f>SUM(AH59:AH74)</f>
        <v>1638.3899999999999</v>
      </c>
      <c r="AI75" s="235">
        <f>SUM(AI59:AI74)</f>
        <v>67</v>
      </c>
    </row>
  </sheetData>
  <mergeCells count="4">
    <mergeCell ref="I2:R2"/>
    <mergeCell ref="K3:N3"/>
    <mergeCell ref="O3:P3"/>
    <mergeCell ref="S3:U3"/>
  </mergeCells>
  <conditionalFormatting sqref="R40 R5">
    <cfRule type="cellIs" dxfId="20" priority="2" operator="lessThanOrEqual">
      <formula>0</formula>
    </cfRule>
  </conditionalFormatting>
  <conditionalFormatting sqref="R5:R39">
    <cfRule type="cellIs" dxfId="19" priority="1" operator="greaterThan">
      <formula>0</formula>
    </cfRule>
  </conditionalFormatting>
  <printOptions horizontalCentered="1"/>
  <pageMargins left="0" right="0" top="0.42" bottom="0" header="0.31496062992125984" footer="0.31496062992125984"/>
  <pageSetup paperSize="9" scale="82" orientation="portrait" r:id="rId1"/>
  <ignoredErrors>
    <ignoredError sqref="N8:R9 N20:R20 N18 P18 N16:R16 N15 P15 N13:R13 N12 P12:R12 N19 P19:R19 N25:R25 N23 P23:R23 N27:R27 N26 P26:R26 N29:R30 N28 P28:R28 N24 P24:R24 N11:R11 N10 P10:R10 N22:R22 N21 P21 N33:R33 N32 P32:R32 N31 P31:R31 N17 P17:R17 N14 P14:R14 R21 R18 R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5"/>
  <sheetViews>
    <sheetView zoomScale="85" zoomScaleNormal="85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N44" sqref="N44"/>
    </sheetView>
  </sheetViews>
  <sheetFormatPr baseColWidth="10" defaultRowHeight="15"/>
  <cols>
    <col min="1" max="1" width="5.7109375" customWidth="1"/>
    <col min="2" max="2" width="0" hidden="1" customWidth="1"/>
    <col min="3" max="3" width="20.7109375" hidden="1" customWidth="1"/>
    <col min="4" max="4" width="20.7109375" style="1" hidden="1" customWidth="1"/>
    <col min="5" max="5" width="13.28515625" hidden="1" customWidth="1"/>
    <col min="6" max="6" width="10.42578125" style="2" hidden="1" customWidth="1"/>
    <col min="7" max="7" width="25.28515625" hidden="1" customWidth="1"/>
    <col min="8" max="8" width="12.5703125" bestFit="1" customWidth="1"/>
    <col min="9" max="9" width="8.7109375" customWidth="1"/>
    <col min="10" max="10" width="24.140625" customWidth="1"/>
    <col min="11" max="11" width="8.7109375" customWidth="1"/>
    <col min="12" max="12" width="10.7109375" bestFit="1" customWidth="1"/>
    <col min="13" max="13" width="8.7109375" customWidth="1"/>
    <col min="14" max="14" width="10.7109375" customWidth="1"/>
    <col min="15" max="15" width="8.7109375" customWidth="1"/>
    <col min="16" max="16" width="11.42578125" customWidth="1"/>
    <col min="17" max="17" width="11.7109375" customWidth="1"/>
    <col min="18" max="18" width="12.5703125" bestFit="1" customWidth="1"/>
    <col min="19" max="19" width="2.7109375" customWidth="1"/>
    <col min="20" max="20" width="13.28515625" customWidth="1"/>
    <col min="21" max="21" width="11.5703125" style="181" customWidth="1"/>
    <col min="22" max="22" width="10.7109375" customWidth="1"/>
    <col min="23" max="23" width="20.7109375" customWidth="1"/>
    <col min="24" max="24" width="2" customWidth="1"/>
    <col min="25" max="25" width="11.85546875" customWidth="1"/>
    <col min="26" max="26" width="20" customWidth="1"/>
    <col min="27" max="27" width="11.7109375" customWidth="1"/>
    <col min="28" max="28" width="11" customWidth="1"/>
    <col min="29" max="29" width="10.7109375" customWidth="1"/>
    <col min="30" max="30" width="10.42578125" customWidth="1"/>
    <col min="31" max="31" width="12.28515625" customWidth="1"/>
    <col min="32" max="32" width="9.42578125" customWidth="1"/>
    <col min="33" max="33" width="9.85546875" customWidth="1"/>
    <col min="34" max="34" width="9.5703125" customWidth="1"/>
  </cols>
  <sheetData>
    <row r="1" spans="8:32" ht="5.0999999999999996" customHeight="1"/>
    <row r="2" spans="8:32">
      <c r="H2" s="357"/>
      <c r="I2" s="409" t="s">
        <v>259</v>
      </c>
      <c r="J2" s="409"/>
      <c r="K2" s="409"/>
      <c r="L2" s="409"/>
      <c r="M2" s="409"/>
      <c r="N2" s="409"/>
      <c r="O2" s="409"/>
      <c r="P2" s="409"/>
      <c r="Q2" s="409"/>
      <c r="R2" s="409"/>
      <c r="S2" s="357"/>
      <c r="T2" s="359"/>
      <c r="U2" s="357"/>
    </row>
    <row r="3" spans="8:32">
      <c r="H3" s="357"/>
      <c r="I3" s="358"/>
      <c r="J3" s="358"/>
      <c r="K3" s="410" t="s">
        <v>58</v>
      </c>
      <c r="L3" s="411"/>
      <c r="M3" s="411"/>
      <c r="N3" s="412"/>
      <c r="O3" s="411" t="s">
        <v>59</v>
      </c>
      <c r="P3" s="412"/>
      <c r="Q3" s="358"/>
      <c r="R3" s="358"/>
      <c r="S3" s="413">
        <f ca="1">+TODAY()</f>
        <v>43292</v>
      </c>
      <c r="T3" s="414"/>
      <c r="U3" s="414"/>
    </row>
    <row r="4" spans="8:32" ht="34.5">
      <c r="H4" s="357"/>
      <c r="I4" s="360" t="s">
        <v>11</v>
      </c>
      <c r="J4" s="360" t="s">
        <v>3</v>
      </c>
      <c r="K4" s="361" t="s">
        <v>23</v>
      </c>
      <c r="L4" s="361" t="s">
        <v>77</v>
      </c>
      <c r="M4" s="361" t="s">
        <v>23</v>
      </c>
      <c r="N4" s="361" t="s">
        <v>77</v>
      </c>
      <c r="O4" s="363" t="s">
        <v>23</v>
      </c>
      <c r="P4" s="363" t="s">
        <v>260</v>
      </c>
      <c r="Q4" s="364" t="s">
        <v>261</v>
      </c>
      <c r="R4" s="365" t="s">
        <v>60</v>
      </c>
      <c r="S4" s="366"/>
      <c r="T4" s="357"/>
      <c r="U4" s="357"/>
    </row>
    <row r="5" spans="8:32">
      <c r="H5" s="357"/>
      <c r="I5" s="16" t="s">
        <v>61</v>
      </c>
      <c r="J5" s="349" t="s">
        <v>62</v>
      </c>
      <c r="K5" s="18"/>
      <c r="L5" s="184">
        <f>+K5*3</f>
        <v>0</v>
      </c>
      <c r="M5" s="117"/>
      <c r="N5" s="23">
        <v>0</v>
      </c>
      <c r="O5" s="330"/>
      <c r="P5" s="331"/>
      <c r="Q5" s="210"/>
      <c r="R5" s="211">
        <f>+L5+N5+P5+Q5</f>
        <v>0</v>
      </c>
      <c r="S5" s="7"/>
      <c r="T5" s="400">
        <v>829.2</v>
      </c>
      <c r="U5" s="401">
        <v>107.47</v>
      </c>
      <c r="V5" s="402">
        <v>721.73</v>
      </c>
      <c r="W5" s="280" t="s">
        <v>231</v>
      </c>
      <c r="Y5" s="289" t="s">
        <v>234</v>
      </c>
      <c r="Z5" s="169"/>
      <c r="AA5" s="169"/>
      <c r="AB5" s="169"/>
      <c r="AC5" s="169" t="s">
        <v>229</v>
      </c>
      <c r="AD5" s="169" t="s">
        <v>213</v>
      </c>
      <c r="AE5" s="169"/>
      <c r="AF5" s="169"/>
    </row>
    <row r="6" spans="8:32">
      <c r="H6" s="357"/>
      <c r="I6" s="113" t="s">
        <v>1</v>
      </c>
      <c r="J6" s="351" t="s">
        <v>56</v>
      </c>
      <c r="K6" s="120"/>
      <c r="L6" s="215">
        <f>+K6*3</f>
        <v>0</v>
      </c>
      <c r="M6" s="117"/>
      <c r="N6" s="31">
        <v>0</v>
      </c>
      <c r="O6" s="332">
        <v>32</v>
      </c>
      <c r="P6" s="333">
        <f>IF(O6&gt;25,150,(O6)*6)</f>
        <v>150</v>
      </c>
      <c r="Q6" s="196"/>
      <c r="R6" s="23">
        <f t="shared" ref="R6:R40" si="0">+L6+N6+P6+Q6</f>
        <v>150</v>
      </c>
      <c r="S6" s="7"/>
      <c r="T6" s="140">
        <f>+U6+V6</f>
        <v>827.21239244592857</v>
      </c>
      <c r="U6" s="284">
        <f>+U5*V6/V5</f>
        <v>107.21239244592853</v>
      </c>
      <c r="V6" s="141">
        <v>720</v>
      </c>
      <c r="W6" s="161"/>
      <c r="Y6" s="169" t="s">
        <v>228</v>
      </c>
      <c r="Z6" s="169" t="s">
        <v>227</v>
      </c>
      <c r="AA6" s="169"/>
      <c r="AB6" s="169"/>
      <c r="AC6" s="169" t="s">
        <v>226</v>
      </c>
      <c r="AD6" s="169" t="s">
        <v>213</v>
      </c>
      <c r="AE6" s="169"/>
      <c r="AF6" s="169"/>
    </row>
    <row r="7" spans="8:32">
      <c r="H7" s="357"/>
      <c r="I7" s="113" t="s">
        <v>2</v>
      </c>
      <c r="J7" s="351" t="s">
        <v>47</v>
      </c>
      <c r="K7" s="115"/>
      <c r="L7" s="215"/>
      <c r="M7" s="117"/>
      <c r="N7" s="31">
        <f>+M7*3</f>
        <v>0</v>
      </c>
      <c r="O7" s="332">
        <v>48</v>
      </c>
      <c r="P7" s="333">
        <f>IF(O7&gt;25,150,(O7)*6)</f>
        <v>150</v>
      </c>
      <c r="Q7" s="195"/>
      <c r="R7" s="31">
        <f t="shared" si="0"/>
        <v>150</v>
      </c>
      <c r="S7" s="7"/>
      <c r="T7" s="142">
        <f>+T5-T6</f>
        <v>1.9876075540714737</v>
      </c>
      <c r="U7" s="183"/>
      <c r="V7" s="143"/>
      <c r="W7" s="4" t="s">
        <v>145</v>
      </c>
      <c r="Y7" s="169" t="s">
        <v>225</v>
      </c>
      <c r="Z7" s="169" t="s">
        <v>224</v>
      </c>
      <c r="AA7" s="169" t="s">
        <v>223</v>
      </c>
      <c r="AB7" s="169">
        <v>43256</v>
      </c>
      <c r="AC7" s="169" t="s">
        <v>222</v>
      </c>
      <c r="AD7" s="169">
        <v>2018</v>
      </c>
      <c r="AE7" s="169"/>
      <c r="AF7" s="169"/>
    </row>
    <row r="8" spans="8:32">
      <c r="H8" s="357"/>
      <c r="I8" s="394" t="s">
        <v>0</v>
      </c>
      <c r="J8" s="350" t="s">
        <v>7</v>
      </c>
      <c r="K8" s="18"/>
      <c r="L8" s="213">
        <f>+K8*5</f>
        <v>0</v>
      </c>
      <c r="M8" s="22"/>
      <c r="N8" s="23">
        <f>5*M8</f>
        <v>0</v>
      </c>
      <c r="O8" s="330"/>
      <c r="P8" s="331">
        <v>0</v>
      </c>
      <c r="Q8" s="196"/>
      <c r="R8" s="23"/>
      <c r="S8" s="7"/>
      <c r="T8" s="144">
        <v>150</v>
      </c>
      <c r="U8" s="163">
        <f>+T8-T7</f>
        <v>148.01239244592853</v>
      </c>
      <c r="V8" s="164" t="s">
        <v>232</v>
      </c>
      <c r="W8" s="9">
        <f>150-U8</f>
        <v>1.9876075540714737</v>
      </c>
      <c r="Y8" s="169" t="s">
        <v>221</v>
      </c>
      <c r="Z8" s="169" t="s">
        <v>220</v>
      </c>
      <c r="AA8" s="169" t="s">
        <v>219</v>
      </c>
      <c r="AB8" s="169" t="s">
        <v>218</v>
      </c>
      <c r="AC8" s="169" t="s">
        <v>217</v>
      </c>
      <c r="AD8" s="169">
        <v>43348</v>
      </c>
      <c r="AE8" s="169"/>
      <c r="AF8" s="169"/>
    </row>
    <row r="9" spans="8:32">
      <c r="H9" s="357"/>
      <c r="I9" s="394" t="s">
        <v>5</v>
      </c>
      <c r="J9" s="352" t="s">
        <v>71</v>
      </c>
      <c r="K9" s="18"/>
      <c r="L9" s="213">
        <f>+K9*3</f>
        <v>0</v>
      </c>
      <c r="M9" s="395"/>
      <c r="N9" s="31">
        <f>+M9*3</f>
        <v>0</v>
      </c>
      <c r="O9" s="334">
        <v>39</v>
      </c>
      <c r="P9" s="333">
        <f t="shared" ref="P9:P27" si="1">IF(O9&gt;25,150,(O9)*6)</f>
        <v>150</v>
      </c>
      <c r="Q9" s="196"/>
      <c r="R9" s="31">
        <f t="shared" si="0"/>
        <v>150</v>
      </c>
      <c r="S9" s="7"/>
      <c r="T9" s="26"/>
      <c r="W9" s="162"/>
      <c r="Y9" s="267" t="s">
        <v>216</v>
      </c>
      <c r="Z9" s="267" t="s">
        <v>215</v>
      </c>
      <c r="AA9" s="267" t="s">
        <v>214</v>
      </c>
      <c r="AB9" s="267" t="s">
        <v>213</v>
      </c>
      <c r="AC9" s="267" t="s">
        <v>212</v>
      </c>
      <c r="AD9" s="267" t="s">
        <v>211</v>
      </c>
      <c r="AE9" s="267"/>
      <c r="AF9" s="267"/>
    </row>
    <row r="10" spans="8:32" ht="17.25" thickBot="1">
      <c r="H10" s="357"/>
      <c r="I10" s="394" t="s">
        <v>27</v>
      </c>
      <c r="J10" s="352" t="s">
        <v>28</v>
      </c>
      <c r="K10" s="18"/>
      <c r="L10" s="213">
        <v>0</v>
      </c>
      <c r="M10" s="395"/>
      <c r="N10" s="31">
        <v>0</v>
      </c>
      <c r="O10" s="334">
        <v>14</v>
      </c>
      <c r="P10" s="333">
        <f t="shared" si="1"/>
        <v>84</v>
      </c>
      <c r="Q10" s="195"/>
      <c r="R10" s="31">
        <f t="shared" si="0"/>
        <v>84</v>
      </c>
      <c r="S10" s="7"/>
      <c r="T10" s="137">
        <v>828</v>
      </c>
      <c r="U10" s="182">
        <v>107.64</v>
      </c>
      <c r="V10" s="139">
        <v>720.36</v>
      </c>
      <c r="W10" s="280" t="s">
        <v>74</v>
      </c>
      <c r="Y10" s="265" t="s">
        <v>210</v>
      </c>
      <c r="Z10" s="265" t="s">
        <v>209</v>
      </c>
      <c r="AA10" s="266" t="s">
        <v>208</v>
      </c>
      <c r="AB10" s="266" t="s">
        <v>207</v>
      </c>
      <c r="AC10" s="266" t="s">
        <v>206</v>
      </c>
      <c r="AD10" s="266" t="s">
        <v>205</v>
      </c>
      <c r="AE10" s="266" t="s">
        <v>204</v>
      </c>
      <c r="AF10" s="266" t="s">
        <v>203</v>
      </c>
    </row>
    <row r="11" spans="8:32">
      <c r="H11" s="356" t="s">
        <v>165</v>
      </c>
      <c r="I11" s="377" t="s">
        <v>8</v>
      </c>
      <c r="J11" s="378" t="s">
        <v>29</v>
      </c>
      <c r="K11" s="381"/>
      <c r="L11" s="379"/>
      <c r="M11" s="325"/>
      <c r="N11" s="326">
        <v>0</v>
      </c>
      <c r="O11" s="325">
        <v>5</v>
      </c>
      <c r="P11" s="326">
        <f t="shared" si="1"/>
        <v>30</v>
      </c>
      <c r="Q11" s="380"/>
      <c r="R11" s="326">
        <f t="shared" si="0"/>
        <v>30</v>
      </c>
      <c r="S11" s="7"/>
      <c r="T11" s="140">
        <f>+U11+V11</f>
        <v>827.58620689655174</v>
      </c>
      <c r="U11" s="284">
        <f>+U10*V11/V10</f>
        <v>107.58620689655173</v>
      </c>
      <c r="V11" s="141">
        <v>720</v>
      </c>
      <c r="W11" s="162"/>
      <c r="Y11" s="240" t="s">
        <v>202</v>
      </c>
      <c r="Z11" s="10" t="s">
        <v>201</v>
      </c>
      <c r="AA11" s="232">
        <v>43102</v>
      </c>
      <c r="AB11" s="239">
        <v>444</v>
      </c>
      <c r="AC11" s="281">
        <v>674</v>
      </c>
      <c r="AD11" s="239">
        <v>87.62</v>
      </c>
      <c r="AE11" s="239">
        <v>586.38</v>
      </c>
      <c r="AF11" s="238">
        <f t="shared" ref="AF11:AF26" si="2">720-AE11</f>
        <v>133.62</v>
      </c>
    </row>
    <row r="12" spans="8:32">
      <c r="H12" s="357"/>
      <c r="I12" s="394" t="s">
        <v>63</v>
      </c>
      <c r="J12" s="352" t="s">
        <v>33</v>
      </c>
      <c r="K12" s="18"/>
      <c r="L12" s="213"/>
      <c r="M12" s="395"/>
      <c r="N12" s="31">
        <f>+M12*3</f>
        <v>0</v>
      </c>
      <c r="O12" s="334">
        <v>31</v>
      </c>
      <c r="P12" s="333">
        <f t="shared" si="1"/>
        <v>150</v>
      </c>
      <c r="Q12" s="195"/>
      <c r="R12" s="31">
        <f t="shared" si="0"/>
        <v>150</v>
      </c>
      <c r="S12" s="7"/>
      <c r="T12" s="142">
        <f>+T10-T11</f>
        <v>0.41379310344825626</v>
      </c>
      <c r="U12" s="183"/>
      <c r="V12" s="143"/>
      <c r="W12" s="4" t="s">
        <v>145</v>
      </c>
      <c r="Y12" s="240" t="s">
        <v>200</v>
      </c>
      <c r="Z12" s="10" t="s">
        <v>199</v>
      </c>
      <c r="AA12" s="232">
        <v>42837</v>
      </c>
      <c r="AB12" s="239">
        <v>204</v>
      </c>
      <c r="AC12" s="281">
        <v>344.8</v>
      </c>
      <c r="AD12" s="239">
        <v>44.82</v>
      </c>
      <c r="AE12" s="239">
        <v>299.98</v>
      </c>
      <c r="AF12" s="238">
        <f t="shared" si="2"/>
        <v>420.02</v>
      </c>
    </row>
    <row r="13" spans="8:32">
      <c r="H13" s="357"/>
      <c r="I13" s="394" t="s">
        <v>24</v>
      </c>
      <c r="J13" s="352" t="s">
        <v>30</v>
      </c>
      <c r="K13" s="18"/>
      <c r="L13" s="213">
        <v>0</v>
      </c>
      <c r="M13" s="395"/>
      <c r="N13" s="31">
        <v>0</v>
      </c>
      <c r="O13" s="334">
        <v>1</v>
      </c>
      <c r="P13" s="333">
        <f t="shared" si="1"/>
        <v>6</v>
      </c>
      <c r="Q13" s="195"/>
      <c r="R13" s="31">
        <f t="shared" si="0"/>
        <v>6</v>
      </c>
      <c r="S13" s="7"/>
      <c r="T13" s="144">
        <v>150</v>
      </c>
      <c r="U13" s="163">
        <f>+T13-T12</f>
        <v>149.58620689655174</v>
      </c>
      <c r="V13" s="164" t="s">
        <v>232</v>
      </c>
      <c r="W13" s="9">
        <f>150-U13</f>
        <v>0.41379310344825626</v>
      </c>
      <c r="Y13" s="240" t="s">
        <v>198</v>
      </c>
      <c r="Z13" s="10" t="s">
        <v>143</v>
      </c>
      <c r="AA13" s="232">
        <v>42837</v>
      </c>
      <c r="AB13" s="239">
        <v>540</v>
      </c>
      <c r="AC13" s="281">
        <v>786</v>
      </c>
      <c r="AD13" s="239">
        <v>102.18</v>
      </c>
      <c r="AE13" s="239">
        <v>683.82</v>
      </c>
      <c r="AF13" s="238">
        <f t="shared" si="2"/>
        <v>36.17999999999995</v>
      </c>
    </row>
    <row r="14" spans="8:32">
      <c r="H14" s="357"/>
      <c r="I14" s="394" t="s">
        <v>18</v>
      </c>
      <c r="J14" s="350" t="s">
        <v>72</v>
      </c>
      <c r="K14" s="18"/>
      <c r="L14" s="213">
        <f>+K14*3</f>
        <v>0</v>
      </c>
      <c r="M14" s="395"/>
      <c r="N14" s="31">
        <f>+M14*3</f>
        <v>0</v>
      </c>
      <c r="O14" s="334"/>
      <c r="P14" s="333">
        <f t="shared" si="1"/>
        <v>0</v>
      </c>
      <c r="Q14" s="195"/>
      <c r="R14" s="31">
        <f t="shared" si="0"/>
        <v>0</v>
      </c>
      <c r="S14" s="7"/>
      <c r="T14" s="26"/>
      <c r="W14" s="162"/>
      <c r="Y14" s="240" t="s">
        <v>197</v>
      </c>
      <c r="Z14" s="10" t="s">
        <v>196</v>
      </c>
      <c r="AA14" s="232">
        <v>42046</v>
      </c>
      <c r="AB14" s="239">
        <v>274.27999999999997</v>
      </c>
      <c r="AC14" s="281">
        <v>323.58999999999997</v>
      </c>
      <c r="AD14" s="239">
        <v>42.07</v>
      </c>
      <c r="AE14" s="239">
        <v>281.52</v>
      </c>
      <c r="AF14" s="238">
        <f t="shared" si="2"/>
        <v>438.48</v>
      </c>
    </row>
    <row r="15" spans="8:32">
      <c r="H15" s="356" t="s">
        <v>165</v>
      </c>
      <c r="I15" s="377" t="s">
        <v>31</v>
      </c>
      <c r="J15" s="378" t="s">
        <v>32</v>
      </c>
      <c r="K15" s="381"/>
      <c r="L15" s="379"/>
      <c r="M15" s="325"/>
      <c r="N15" s="326">
        <f t="shared" ref="N15:N25" si="3">+M15*3</f>
        <v>0</v>
      </c>
      <c r="O15" s="325">
        <v>30</v>
      </c>
      <c r="P15" s="326">
        <f t="shared" si="1"/>
        <v>150</v>
      </c>
      <c r="Q15" s="380"/>
      <c r="R15" s="326">
        <f t="shared" si="0"/>
        <v>150</v>
      </c>
      <c r="S15" s="7"/>
      <c r="T15" s="137">
        <v>884</v>
      </c>
      <c r="U15" s="182">
        <v>114.92</v>
      </c>
      <c r="V15" s="139">
        <v>769.08</v>
      </c>
      <c r="W15" s="280" t="s">
        <v>51</v>
      </c>
      <c r="Y15" s="240" t="s">
        <v>195</v>
      </c>
      <c r="Z15" s="10" t="s">
        <v>194</v>
      </c>
      <c r="AA15" s="232">
        <v>42801</v>
      </c>
      <c r="AB15" s="239">
        <v>144</v>
      </c>
      <c r="AC15" s="281">
        <v>243.6</v>
      </c>
      <c r="AD15" s="239">
        <v>31.67</v>
      </c>
      <c r="AE15" s="239">
        <v>211.93</v>
      </c>
      <c r="AF15" s="238">
        <f t="shared" si="2"/>
        <v>508.07</v>
      </c>
    </row>
    <row r="16" spans="8:32">
      <c r="H16" s="357"/>
      <c r="I16" s="394" t="s">
        <v>54</v>
      </c>
      <c r="J16" s="352" t="s">
        <v>55</v>
      </c>
      <c r="K16" s="18"/>
      <c r="L16" s="213">
        <f>+K16*3</f>
        <v>0</v>
      </c>
      <c r="M16" s="395"/>
      <c r="N16" s="31">
        <f t="shared" si="3"/>
        <v>0</v>
      </c>
      <c r="O16" s="334"/>
      <c r="P16" s="333">
        <f t="shared" si="1"/>
        <v>0</v>
      </c>
      <c r="Q16" s="195"/>
      <c r="R16" s="31">
        <f t="shared" si="0"/>
        <v>0</v>
      </c>
      <c r="S16" s="7"/>
      <c r="T16" s="140">
        <f>+U16+V16</f>
        <v>827.58620689655174</v>
      </c>
      <c r="U16" s="284">
        <f>+U15*V16/V15</f>
        <v>107.58620689655172</v>
      </c>
      <c r="V16" s="141">
        <v>720</v>
      </c>
      <c r="W16" s="162"/>
      <c r="Y16" s="240" t="s">
        <v>193</v>
      </c>
      <c r="Z16" s="10" t="s">
        <v>192</v>
      </c>
      <c r="AA16" s="232">
        <v>42499</v>
      </c>
      <c r="AB16" s="239">
        <v>12</v>
      </c>
      <c r="AC16" s="281">
        <v>21.2</v>
      </c>
      <c r="AD16" s="239">
        <v>2.76</v>
      </c>
      <c r="AE16" s="239">
        <v>18.440000000000001</v>
      </c>
      <c r="AF16" s="238">
        <f t="shared" si="2"/>
        <v>701.56</v>
      </c>
    </row>
    <row r="17" spans="1:32">
      <c r="H17" s="357"/>
      <c r="I17" s="113" t="s">
        <v>10</v>
      </c>
      <c r="J17" s="351" t="s">
        <v>34</v>
      </c>
      <c r="K17" s="115"/>
      <c r="L17" s="215"/>
      <c r="M17" s="117"/>
      <c r="N17" s="31">
        <f t="shared" si="3"/>
        <v>0</v>
      </c>
      <c r="O17" s="332">
        <v>29</v>
      </c>
      <c r="P17" s="333">
        <f t="shared" si="1"/>
        <v>150</v>
      </c>
      <c r="Q17" s="195"/>
      <c r="R17" s="31">
        <f t="shared" si="0"/>
        <v>150</v>
      </c>
      <c r="S17" s="7"/>
      <c r="T17" s="142">
        <f>+T15-T16</f>
        <v>56.413793103448256</v>
      </c>
      <c r="U17" s="183"/>
      <c r="V17" s="143"/>
      <c r="W17" s="4" t="s">
        <v>145</v>
      </c>
      <c r="Y17" s="245" t="s">
        <v>191</v>
      </c>
      <c r="Z17" s="244" t="s">
        <v>190</v>
      </c>
      <c r="AA17" s="243">
        <v>42046</v>
      </c>
      <c r="AB17" s="242">
        <v>696</v>
      </c>
      <c r="AC17" s="282">
        <v>968</v>
      </c>
      <c r="AD17" s="242">
        <v>125.45</v>
      </c>
      <c r="AE17" s="241">
        <v>842.55</v>
      </c>
      <c r="AF17" s="319">
        <f t="shared" si="2"/>
        <v>-122.54999999999995</v>
      </c>
    </row>
    <row r="18" spans="1:32">
      <c r="H18" s="375"/>
      <c r="I18" s="113" t="s">
        <v>9</v>
      </c>
      <c r="J18" s="351" t="s">
        <v>35</v>
      </c>
      <c r="K18" s="115"/>
      <c r="L18" s="116"/>
      <c r="M18" s="117"/>
      <c r="N18" s="31">
        <f t="shared" si="3"/>
        <v>0</v>
      </c>
      <c r="O18" s="117">
        <v>42</v>
      </c>
      <c r="P18" s="31">
        <f t="shared" si="1"/>
        <v>150</v>
      </c>
      <c r="Q18" s="195"/>
      <c r="R18" s="31">
        <f t="shared" si="0"/>
        <v>150</v>
      </c>
      <c r="S18" s="7"/>
      <c r="T18" s="144">
        <v>150</v>
      </c>
      <c r="U18" s="163">
        <f>+T18-T17+0.01</f>
        <v>93.596206896551749</v>
      </c>
      <c r="V18" s="164" t="s">
        <v>232</v>
      </c>
      <c r="W18" s="9">
        <f>150-U18</f>
        <v>56.403793103448251</v>
      </c>
      <c r="Y18" s="240" t="s">
        <v>189</v>
      </c>
      <c r="Z18" s="10" t="s">
        <v>188</v>
      </c>
      <c r="AA18" s="232">
        <v>43347</v>
      </c>
      <c r="AB18" s="239">
        <v>432</v>
      </c>
      <c r="AC18" s="281">
        <v>660</v>
      </c>
      <c r="AD18" s="239">
        <v>85.8</v>
      </c>
      <c r="AE18" s="239">
        <v>574.20000000000005</v>
      </c>
      <c r="AF18" s="238">
        <f t="shared" si="2"/>
        <v>145.79999999999995</v>
      </c>
    </row>
    <row r="19" spans="1:32">
      <c r="H19" s="375"/>
      <c r="I19" s="113" t="s">
        <v>36</v>
      </c>
      <c r="J19" s="351" t="s">
        <v>37</v>
      </c>
      <c r="K19" s="115"/>
      <c r="L19" s="116"/>
      <c r="M19" s="117"/>
      <c r="N19" s="31">
        <f t="shared" si="3"/>
        <v>0</v>
      </c>
      <c r="O19" s="117">
        <v>30</v>
      </c>
      <c r="P19" s="31">
        <f t="shared" si="1"/>
        <v>150</v>
      </c>
      <c r="Q19" s="195"/>
      <c r="R19" s="31">
        <f t="shared" si="0"/>
        <v>150</v>
      </c>
      <c r="S19" s="7"/>
      <c r="T19" s="26"/>
      <c r="W19" s="162"/>
      <c r="Y19" s="240" t="s">
        <v>187</v>
      </c>
      <c r="Z19" s="10" t="s">
        <v>186</v>
      </c>
      <c r="AA19" s="232">
        <v>42837</v>
      </c>
      <c r="AB19" s="239">
        <v>504</v>
      </c>
      <c r="AC19" s="281">
        <v>744</v>
      </c>
      <c r="AD19" s="239">
        <v>91.22</v>
      </c>
      <c r="AE19" s="239">
        <v>652.78</v>
      </c>
      <c r="AF19" s="238">
        <f t="shared" si="2"/>
        <v>67.220000000000027</v>
      </c>
    </row>
    <row r="20" spans="1:32">
      <c r="H20" s="357"/>
      <c r="I20" s="394" t="s">
        <v>64</v>
      </c>
      <c r="J20" s="352" t="s">
        <v>65</v>
      </c>
      <c r="K20" s="35"/>
      <c r="L20" s="213"/>
      <c r="M20" s="395"/>
      <c r="N20" s="31">
        <v>0</v>
      </c>
      <c r="O20" s="334"/>
      <c r="P20" s="333">
        <f t="shared" si="1"/>
        <v>0</v>
      </c>
      <c r="Q20" s="195"/>
      <c r="R20" s="31">
        <f t="shared" si="0"/>
        <v>0</v>
      </c>
      <c r="S20" s="7"/>
      <c r="T20" s="268"/>
      <c r="U20" s="269"/>
      <c r="V20" s="270"/>
      <c r="W20" s="271"/>
      <c r="Y20" s="240" t="s">
        <v>185</v>
      </c>
      <c r="Z20" s="10" t="s">
        <v>184</v>
      </c>
      <c r="AA20" s="232">
        <v>42125</v>
      </c>
      <c r="AB20" s="239">
        <v>432</v>
      </c>
      <c r="AC20" s="281">
        <v>660</v>
      </c>
      <c r="AD20" s="239">
        <v>80.92</v>
      </c>
      <c r="AE20" s="239">
        <v>579.08000000000004</v>
      </c>
      <c r="AF20" s="238">
        <f t="shared" si="2"/>
        <v>140.91999999999996</v>
      </c>
    </row>
    <row r="21" spans="1:32">
      <c r="H21" s="357"/>
      <c r="I21" s="394" t="s">
        <v>13</v>
      </c>
      <c r="J21" s="352" t="s">
        <v>38</v>
      </c>
      <c r="K21" s="35"/>
      <c r="L21" s="213"/>
      <c r="M21" s="395"/>
      <c r="N21" s="31">
        <f t="shared" si="3"/>
        <v>0</v>
      </c>
      <c r="O21" s="334">
        <v>27</v>
      </c>
      <c r="P21" s="333">
        <f t="shared" si="1"/>
        <v>150</v>
      </c>
      <c r="Q21" s="195"/>
      <c r="R21" s="31">
        <f t="shared" si="0"/>
        <v>150</v>
      </c>
      <c r="S21" s="7"/>
      <c r="T21" s="268"/>
      <c r="U21" s="269"/>
      <c r="V21" s="272"/>
      <c r="W21" s="273"/>
      <c r="Y21" s="245" t="s">
        <v>183</v>
      </c>
      <c r="Z21" s="244" t="s">
        <v>74</v>
      </c>
      <c r="AA21" s="243">
        <v>42499</v>
      </c>
      <c r="AB21" s="242">
        <v>576</v>
      </c>
      <c r="AC21" s="282">
        <v>828</v>
      </c>
      <c r="AD21" s="242">
        <v>107.64</v>
      </c>
      <c r="AE21" s="241">
        <v>720.36</v>
      </c>
      <c r="AF21" s="319">
        <f t="shared" si="2"/>
        <v>-0.36000000000001364</v>
      </c>
    </row>
    <row r="22" spans="1:32">
      <c r="H22" s="357"/>
      <c r="I22" s="394" t="s">
        <v>39</v>
      </c>
      <c r="J22" s="352" t="s">
        <v>40</v>
      </c>
      <c r="K22" s="35"/>
      <c r="L22" s="213"/>
      <c r="M22" s="395"/>
      <c r="N22" s="31">
        <f t="shared" si="3"/>
        <v>0</v>
      </c>
      <c r="O22" s="334"/>
      <c r="P22" s="333">
        <f t="shared" si="1"/>
        <v>0</v>
      </c>
      <c r="Q22" s="195"/>
      <c r="R22" s="31">
        <f t="shared" si="0"/>
        <v>0</v>
      </c>
      <c r="S22" s="7"/>
      <c r="T22" s="274"/>
      <c r="U22" s="269"/>
      <c r="V22" s="270"/>
      <c r="W22" s="275"/>
      <c r="Y22" s="245" t="s">
        <v>182</v>
      </c>
      <c r="Z22" s="244" t="s">
        <v>51</v>
      </c>
      <c r="AA22" s="243">
        <v>42375</v>
      </c>
      <c r="AB22" s="242">
        <v>624</v>
      </c>
      <c r="AC22" s="282">
        <v>884</v>
      </c>
      <c r="AD22" s="242">
        <v>114.92</v>
      </c>
      <c r="AE22" s="241">
        <v>769.08</v>
      </c>
      <c r="AF22" s="319">
        <f t="shared" si="2"/>
        <v>-49.080000000000041</v>
      </c>
    </row>
    <row r="23" spans="1:32">
      <c r="H23" s="357"/>
      <c r="I23" s="394" t="s">
        <v>41</v>
      </c>
      <c r="J23" s="352" t="s">
        <v>42</v>
      </c>
      <c r="K23" s="35"/>
      <c r="L23" s="213"/>
      <c r="M23" s="395"/>
      <c r="N23" s="31">
        <f t="shared" si="3"/>
        <v>0</v>
      </c>
      <c r="O23" s="334">
        <v>32</v>
      </c>
      <c r="P23" s="333">
        <f t="shared" si="1"/>
        <v>150</v>
      </c>
      <c r="Q23" s="195"/>
      <c r="R23" s="31">
        <f t="shared" si="0"/>
        <v>150</v>
      </c>
      <c r="S23" s="7"/>
      <c r="T23" s="268"/>
      <c r="U23" s="276"/>
      <c r="V23" s="277">
        <v>34.285699999999999</v>
      </c>
      <c r="W23" s="276"/>
      <c r="Y23" s="240" t="s">
        <v>181</v>
      </c>
      <c r="Z23" s="10" t="s">
        <v>180</v>
      </c>
      <c r="AA23" s="232">
        <v>42375</v>
      </c>
      <c r="AB23" s="239">
        <v>492</v>
      </c>
      <c r="AC23" s="281">
        <v>730</v>
      </c>
      <c r="AD23" s="239">
        <v>94.9</v>
      </c>
      <c r="AE23" s="239">
        <v>635.1</v>
      </c>
      <c r="AF23" s="238">
        <f t="shared" si="2"/>
        <v>84.899999999999977</v>
      </c>
    </row>
    <row r="24" spans="1:32">
      <c r="H24" s="357"/>
      <c r="I24" s="394" t="s">
        <v>26</v>
      </c>
      <c r="J24" s="352" t="s">
        <v>48</v>
      </c>
      <c r="K24" s="18"/>
      <c r="L24" s="213">
        <v>0</v>
      </c>
      <c r="M24" s="395"/>
      <c r="N24" s="31">
        <f t="shared" si="3"/>
        <v>0</v>
      </c>
      <c r="O24" s="334">
        <v>29</v>
      </c>
      <c r="P24" s="333">
        <f t="shared" si="1"/>
        <v>150</v>
      </c>
      <c r="Q24" s="195"/>
      <c r="R24" s="31">
        <f>+L24+N27+P24+Q24</f>
        <v>150</v>
      </c>
      <c r="S24" s="7"/>
      <c r="T24" s="268"/>
      <c r="U24" s="269"/>
      <c r="V24" s="270">
        <f>+V23/6*7</f>
        <v>39.999983333333333</v>
      </c>
      <c r="W24" s="275"/>
      <c r="Y24" s="240" t="s">
        <v>179</v>
      </c>
      <c r="Z24" s="10" t="s">
        <v>49</v>
      </c>
      <c r="AA24" s="232">
        <v>42897</v>
      </c>
      <c r="AB24" s="239">
        <v>12</v>
      </c>
      <c r="AC24" s="281">
        <v>21.2</v>
      </c>
      <c r="AD24" s="239">
        <v>2.64</v>
      </c>
      <c r="AE24" s="239">
        <v>18.559999999999999</v>
      </c>
      <c r="AF24" s="238">
        <f t="shared" si="2"/>
        <v>701.44</v>
      </c>
    </row>
    <row r="25" spans="1:32">
      <c r="H25" s="357"/>
      <c r="I25" s="394" t="s">
        <v>67</v>
      </c>
      <c r="J25" s="350" t="s">
        <v>68</v>
      </c>
      <c r="K25" s="18"/>
      <c r="L25" s="213">
        <v>0</v>
      </c>
      <c r="M25" s="22"/>
      <c r="N25" s="31">
        <f t="shared" si="3"/>
        <v>0</v>
      </c>
      <c r="O25" s="330"/>
      <c r="P25" s="333">
        <f t="shared" si="1"/>
        <v>0</v>
      </c>
      <c r="Q25" s="196"/>
      <c r="R25" s="31">
        <f t="shared" si="0"/>
        <v>0</v>
      </c>
      <c r="S25" s="7"/>
      <c r="T25" s="268"/>
      <c r="U25" s="269"/>
      <c r="V25" s="270">
        <v>8</v>
      </c>
      <c r="W25" s="271"/>
      <c r="Y25" s="240" t="s">
        <v>178</v>
      </c>
      <c r="Z25" s="10" t="s">
        <v>177</v>
      </c>
      <c r="AA25" s="232" t="s">
        <v>176</v>
      </c>
      <c r="AB25" s="239">
        <v>444</v>
      </c>
      <c r="AC25" s="281">
        <v>674</v>
      </c>
      <c r="AD25" s="239">
        <v>87.62</v>
      </c>
      <c r="AE25" s="239">
        <v>586.38</v>
      </c>
      <c r="AF25" s="238">
        <f t="shared" si="2"/>
        <v>133.62</v>
      </c>
    </row>
    <row r="26" spans="1:32">
      <c r="H26" s="357"/>
      <c r="I26" s="394" t="s">
        <v>21</v>
      </c>
      <c r="J26" s="350" t="s">
        <v>152</v>
      </c>
      <c r="K26" s="18"/>
      <c r="L26" s="213">
        <v>0</v>
      </c>
      <c r="M26" s="22"/>
      <c r="N26" s="31">
        <v>0</v>
      </c>
      <c r="O26" s="334">
        <v>27</v>
      </c>
      <c r="P26" s="333">
        <f t="shared" si="1"/>
        <v>150</v>
      </c>
      <c r="Q26" s="196"/>
      <c r="R26" s="31">
        <f t="shared" si="0"/>
        <v>150</v>
      </c>
      <c r="S26" s="7"/>
      <c r="T26" s="268"/>
      <c r="U26" s="269"/>
      <c r="V26" s="272">
        <f>+V25*V24</f>
        <v>319.99986666666666</v>
      </c>
      <c r="W26" s="271"/>
      <c r="Y26" s="240" t="s">
        <v>175</v>
      </c>
      <c r="Z26" s="10" t="s">
        <v>57</v>
      </c>
      <c r="AA26" s="232">
        <v>42889</v>
      </c>
      <c r="AB26" s="239">
        <v>528</v>
      </c>
      <c r="AC26" s="281">
        <v>772</v>
      </c>
      <c r="AD26" s="239">
        <v>90.63</v>
      </c>
      <c r="AE26" s="239">
        <v>681.37</v>
      </c>
      <c r="AF26" s="238">
        <f t="shared" si="2"/>
        <v>38.629999999999995</v>
      </c>
    </row>
    <row r="27" spans="1:32">
      <c r="H27" s="375"/>
      <c r="I27" s="113" t="s">
        <v>43</v>
      </c>
      <c r="J27" s="351" t="s">
        <v>73</v>
      </c>
      <c r="K27" s="115"/>
      <c r="L27" s="213">
        <v>0</v>
      </c>
      <c r="M27" s="117"/>
      <c r="N27" s="31">
        <f>+M24*3</f>
        <v>0</v>
      </c>
      <c r="O27" s="117"/>
      <c r="P27" s="31">
        <f t="shared" si="1"/>
        <v>0</v>
      </c>
      <c r="Q27" s="195"/>
      <c r="R27" s="31">
        <f>+L27+N29+P27+Q27</f>
        <v>0</v>
      </c>
      <c r="S27" s="7"/>
      <c r="T27" s="274"/>
      <c r="U27" s="269"/>
      <c r="V27" s="270"/>
      <c r="W27" s="271"/>
      <c r="Y27" s="130"/>
      <c r="Z27" s="237"/>
      <c r="AA27" s="236"/>
      <c r="AB27" s="235">
        <f>SUM(AB11:AB26)</f>
        <v>6358.28</v>
      </c>
      <c r="AC27" s="283">
        <f>SUM(AC11:AC26)</f>
        <v>9334.39</v>
      </c>
      <c r="AD27" s="235">
        <f>SUM(AD11:AD26)</f>
        <v>1192.8600000000001</v>
      </c>
      <c r="AE27" s="235">
        <f>SUM(AE11:AE26)</f>
        <v>8141.53</v>
      </c>
      <c r="AF27" s="234"/>
    </row>
    <row r="28" spans="1:32">
      <c r="H28" s="358"/>
      <c r="I28" s="113" t="s">
        <v>44</v>
      </c>
      <c r="J28" s="351" t="s">
        <v>45</v>
      </c>
      <c r="K28" s="120"/>
      <c r="L28" s="215">
        <f>+K28*3</f>
        <v>0</v>
      </c>
      <c r="M28" s="117"/>
      <c r="N28" s="31">
        <v>0</v>
      </c>
      <c r="O28" s="332">
        <v>33</v>
      </c>
      <c r="P28" s="333">
        <f>IF(O28&gt;25,150,(O28)*6)</f>
        <v>150</v>
      </c>
      <c r="Q28" s="196"/>
      <c r="R28" s="23">
        <f t="shared" si="0"/>
        <v>150</v>
      </c>
      <c r="S28" s="7"/>
      <c r="T28" s="268"/>
      <c r="U28" s="276"/>
      <c r="V28" s="277"/>
      <c r="W28" s="271"/>
      <c r="Y28" s="233"/>
      <c r="Z28" s="10"/>
      <c r="AA28" s="232"/>
      <c r="AB28" s="231"/>
      <c r="AC28" s="231"/>
      <c r="AD28" s="231"/>
      <c r="AE28" s="231"/>
      <c r="AF28" s="230"/>
    </row>
    <row r="29" spans="1:32">
      <c r="A29" s="4"/>
      <c r="B29" s="4"/>
      <c r="C29" s="4"/>
      <c r="D29" s="3"/>
      <c r="E29" s="4"/>
      <c r="F29" s="166"/>
      <c r="G29" s="4"/>
      <c r="H29" s="358"/>
      <c r="I29" s="113" t="s">
        <v>14</v>
      </c>
      <c r="J29" s="351" t="s">
        <v>66</v>
      </c>
      <c r="K29" s="120"/>
      <c r="L29" s="215">
        <f>+K29*3</f>
        <v>0</v>
      </c>
      <c r="M29" s="117"/>
      <c r="N29" s="31">
        <f>+M27*3</f>
        <v>0</v>
      </c>
      <c r="O29" s="332">
        <v>2</v>
      </c>
      <c r="P29" s="333">
        <f>IF(O29&gt;25,150,(O29)*6)</f>
        <v>12</v>
      </c>
      <c r="Q29" s="196"/>
      <c r="R29" s="23">
        <f t="shared" si="0"/>
        <v>12</v>
      </c>
      <c r="S29" s="7"/>
      <c r="T29" s="268"/>
      <c r="U29" s="269"/>
      <c r="V29" s="270"/>
      <c r="W29" s="271"/>
      <c r="Y29" s="289" t="s">
        <v>233</v>
      </c>
      <c r="Z29" s="264"/>
      <c r="AA29" s="264"/>
      <c r="AB29" s="264"/>
      <c r="AC29" s="250" t="s">
        <v>229</v>
      </c>
      <c r="AD29" s="249" t="s">
        <v>213</v>
      </c>
      <c r="AE29" s="249"/>
    </row>
    <row r="30" spans="1:32">
      <c r="H30" s="357"/>
      <c r="I30" s="394" t="s">
        <v>15</v>
      </c>
      <c r="J30" s="350" t="s">
        <v>16</v>
      </c>
      <c r="K30" s="18"/>
      <c r="L30" s="213">
        <f>+K30*3</f>
        <v>0</v>
      </c>
      <c r="M30" s="395"/>
      <c r="N30" s="23">
        <f>5*M30</f>
        <v>0</v>
      </c>
      <c r="O30" s="334"/>
      <c r="P30" s="331">
        <f t="shared" ref="P30:P39" si="4">IF(O30&gt;25,150,(O30)*6)</f>
        <v>0</v>
      </c>
      <c r="Q30" s="196"/>
      <c r="R30" s="23">
        <f t="shared" si="0"/>
        <v>0</v>
      </c>
      <c r="S30" s="7"/>
      <c r="T30" s="268"/>
      <c r="U30" s="269"/>
      <c r="V30" s="270"/>
      <c r="W30" s="271"/>
      <c r="Y30" s="259" t="s">
        <v>228</v>
      </c>
      <c r="Z30" s="263" t="s">
        <v>227</v>
      </c>
      <c r="AA30" s="262"/>
      <c r="AB30" s="262"/>
      <c r="AC30" s="250" t="s">
        <v>226</v>
      </c>
      <c r="AD30" s="261" t="s">
        <v>213</v>
      </c>
      <c r="AE30" s="261"/>
    </row>
    <row r="31" spans="1:32">
      <c r="H31" s="357"/>
      <c r="I31" s="394" t="s">
        <v>17</v>
      </c>
      <c r="J31" s="352" t="s">
        <v>119</v>
      </c>
      <c r="K31" s="35"/>
      <c r="L31" s="213"/>
      <c r="M31" s="395"/>
      <c r="N31" s="31">
        <v>0</v>
      </c>
      <c r="O31" s="334">
        <v>29</v>
      </c>
      <c r="P31" s="333">
        <f t="shared" si="4"/>
        <v>150</v>
      </c>
      <c r="Q31" s="195"/>
      <c r="R31" s="31">
        <f t="shared" si="0"/>
        <v>150</v>
      </c>
      <c r="S31" s="7"/>
      <c r="T31" s="268"/>
      <c r="U31" s="269"/>
      <c r="V31" s="272"/>
      <c r="W31" s="275"/>
      <c r="Y31" s="259" t="s">
        <v>225</v>
      </c>
      <c r="Z31" s="251" t="s">
        <v>224</v>
      </c>
      <c r="AA31" s="250" t="s">
        <v>223</v>
      </c>
      <c r="AB31" s="255">
        <v>43256</v>
      </c>
      <c r="AC31" s="258" t="s">
        <v>222</v>
      </c>
      <c r="AD31" s="257">
        <v>2018</v>
      </c>
      <c r="AE31" s="10"/>
    </row>
    <row r="32" spans="1:32" s="4" customFormat="1">
      <c r="A32"/>
      <c r="B32"/>
      <c r="C32"/>
      <c r="D32" s="1"/>
      <c r="E32"/>
      <c r="F32" s="2"/>
      <c r="G32"/>
      <c r="H32" s="357"/>
      <c r="I32" s="113" t="s">
        <v>75</v>
      </c>
      <c r="J32" s="351" t="s">
        <v>76</v>
      </c>
      <c r="K32" s="115"/>
      <c r="L32" s="215"/>
      <c r="M32" s="117"/>
      <c r="N32" s="31">
        <f>+M32*3</f>
        <v>0</v>
      </c>
      <c r="O32" s="332">
        <v>24</v>
      </c>
      <c r="P32" s="333">
        <f t="shared" si="4"/>
        <v>144</v>
      </c>
      <c r="Q32" s="195"/>
      <c r="R32" s="31">
        <f t="shared" si="0"/>
        <v>144</v>
      </c>
      <c r="S32" s="7"/>
      <c r="T32" s="274"/>
      <c r="U32" s="269"/>
      <c r="V32" s="270"/>
      <c r="W32" s="278"/>
      <c r="Y32" s="252" t="s">
        <v>221</v>
      </c>
      <c r="Z32" s="251" t="s">
        <v>220</v>
      </c>
      <c r="AA32" s="250" t="s">
        <v>219</v>
      </c>
      <c r="AB32" s="254" t="s">
        <v>218</v>
      </c>
      <c r="AC32" s="250" t="s">
        <v>217</v>
      </c>
      <c r="AD32" s="255">
        <v>43348</v>
      </c>
      <c r="AE32" s="249"/>
    </row>
    <row r="33" spans="8:31">
      <c r="H33" s="357"/>
      <c r="I33" s="113" t="s">
        <v>146</v>
      </c>
      <c r="J33" s="351" t="s">
        <v>55</v>
      </c>
      <c r="K33" s="115"/>
      <c r="L33" s="215"/>
      <c r="M33" s="117"/>
      <c r="N33" s="31">
        <v>0</v>
      </c>
      <c r="O33" s="332"/>
      <c r="P33" s="333">
        <f t="shared" si="4"/>
        <v>0</v>
      </c>
      <c r="Q33" s="195"/>
      <c r="R33" s="31">
        <f t="shared" si="0"/>
        <v>0</v>
      </c>
      <c r="S33" s="7"/>
      <c r="T33" s="268"/>
      <c r="U33" s="276"/>
      <c r="V33" s="277"/>
      <c r="W33" s="279"/>
      <c r="Y33" s="252" t="s">
        <v>216</v>
      </c>
      <c r="Z33" s="251" t="s">
        <v>215</v>
      </c>
      <c r="AA33" s="250" t="s">
        <v>214</v>
      </c>
      <c r="AB33" s="249" t="s">
        <v>213</v>
      </c>
      <c r="AC33" s="250" t="s">
        <v>212</v>
      </c>
      <c r="AD33" s="249" t="s">
        <v>211</v>
      </c>
      <c r="AE33" s="249"/>
    </row>
    <row r="34" spans="8:31" ht="17.25" thickBot="1">
      <c r="H34" s="357"/>
      <c r="I34" s="113" t="s">
        <v>69</v>
      </c>
      <c r="J34" s="351" t="s">
        <v>70</v>
      </c>
      <c r="K34" s="115"/>
      <c r="L34" s="215">
        <v>0</v>
      </c>
      <c r="M34" s="117"/>
      <c r="N34" s="31">
        <f>+M34*3</f>
        <v>0</v>
      </c>
      <c r="O34" s="332">
        <v>33</v>
      </c>
      <c r="P34" s="333">
        <f t="shared" si="4"/>
        <v>150</v>
      </c>
      <c r="Q34" s="195"/>
      <c r="R34" s="31">
        <f t="shared" si="0"/>
        <v>150</v>
      </c>
      <c r="S34" s="7"/>
      <c r="T34" s="268"/>
      <c r="U34" s="269"/>
      <c r="V34" s="270"/>
      <c r="W34" s="275"/>
      <c r="Y34" s="247" t="s">
        <v>210</v>
      </c>
      <c r="Z34" s="247" t="s">
        <v>209</v>
      </c>
      <c r="AA34" s="246" t="s">
        <v>208</v>
      </c>
      <c r="AB34" s="246" t="s">
        <v>207</v>
      </c>
      <c r="AC34" s="246" t="s">
        <v>206</v>
      </c>
      <c r="AD34" s="246" t="s">
        <v>205</v>
      </c>
      <c r="AE34" s="246" t="s">
        <v>204</v>
      </c>
    </row>
    <row r="35" spans="8:31">
      <c r="H35" s="357"/>
      <c r="I35" s="394" t="s">
        <v>91</v>
      </c>
      <c r="J35" s="352" t="s">
        <v>92</v>
      </c>
      <c r="K35" s="35"/>
      <c r="L35" s="213">
        <v>0</v>
      </c>
      <c r="M35" s="395"/>
      <c r="N35" s="31">
        <f>+M35*3</f>
        <v>0</v>
      </c>
      <c r="O35" s="334">
        <v>34</v>
      </c>
      <c r="P35" s="333">
        <f t="shared" si="4"/>
        <v>150</v>
      </c>
      <c r="Q35" s="195"/>
      <c r="R35" s="31">
        <f t="shared" si="0"/>
        <v>150</v>
      </c>
      <c r="S35" s="7"/>
      <c r="T35" s="268"/>
      <c r="U35" s="269"/>
      <c r="V35" s="270"/>
      <c r="W35" s="271"/>
      <c r="Y35" s="240" t="s">
        <v>202</v>
      </c>
      <c r="Z35" s="10" t="s">
        <v>201</v>
      </c>
      <c r="AA35" s="232">
        <v>43102</v>
      </c>
      <c r="AB35" s="239">
        <v>444</v>
      </c>
      <c r="AC35" s="239">
        <v>674</v>
      </c>
      <c r="AD35" s="239">
        <v>87.62</v>
      </c>
      <c r="AE35" s="239">
        <v>586.38</v>
      </c>
    </row>
    <row r="36" spans="8:31">
      <c r="H36" s="357"/>
      <c r="I36" s="394" t="s">
        <v>93</v>
      </c>
      <c r="J36" s="350" t="s">
        <v>94</v>
      </c>
      <c r="K36" s="18"/>
      <c r="L36" s="213">
        <v>0</v>
      </c>
      <c r="M36" s="395"/>
      <c r="N36" s="31">
        <v>0</v>
      </c>
      <c r="O36" s="334"/>
      <c r="P36" s="333">
        <f t="shared" si="4"/>
        <v>0</v>
      </c>
      <c r="Q36" s="196"/>
      <c r="R36" s="31">
        <f t="shared" si="0"/>
        <v>0</v>
      </c>
      <c r="S36" s="7"/>
      <c r="T36" s="268"/>
      <c r="U36" s="269"/>
      <c r="V36" s="272"/>
      <c r="W36" s="273"/>
      <c r="Y36" s="240" t="s">
        <v>200</v>
      </c>
      <c r="Z36" s="10" t="s">
        <v>199</v>
      </c>
      <c r="AA36" s="232">
        <v>42837</v>
      </c>
      <c r="AB36" s="239">
        <v>204</v>
      </c>
      <c r="AC36" s="239">
        <v>344.8</v>
      </c>
      <c r="AD36" s="239">
        <v>44.82</v>
      </c>
      <c r="AE36" s="239">
        <v>299.98</v>
      </c>
    </row>
    <row r="37" spans="8:31">
      <c r="H37" s="357"/>
      <c r="I37" s="394" t="s">
        <v>120</v>
      </c>
      <c r="J37" s="350" t="s">
        <v>121</v>
      </c>
      <c r="K37" s="18"/>
      <c r="L37" s="213">
        <v>0</v>
      </c>
      <c r="M37" s="395"/>
      <c r="N37" s="31">
        <v>0</v>
      </c>
      <c r="O37" s="334">
        <v>2</v>
      </c>
      <c r="P37" s="333">
        <f t="shared" si="4"/>
        <v>12</v>
      </c>
      <c r="Q37" s="196"/>
      <c r="R37" s="31">
        <f t="shared" si="0"/>
        <v>12</v>
      </c>
      <c r="S37" s="7"/>
      <c r="T37" s="274"/>
      <c r="U37" s="269"/>
      <c r="V37" s="270"/>
      <c r="W37" s="275"/>
      <c r="Y37" s="240" t="s">
        <v>198</v>
      </c>
      <c r="Z37" s="10" t="s">
        <v>143</v>
      </c>
      <c r="AA37" s="232">
        <v>42837</v>
      </c>
      <c r="AB37" s="239">
        <v>540</v>
      </c>
      <c r="AC37" s="239">
        <v>786</v>
      </c>
      <c r="AD37" s="239">
        <v>102.18</v>
      </c>
      <c r="AE37" s="239">
        <v>683.82</v>
      </c>
    </row>
    <row r="38" spans="8:31">
      <c r="H38" s="357"/>
      <c r="I38" s="394" t="s">
        <v>125</v>
      </c>
      <c r="J38" s="350" t="s">
        <v>126</v>
      </c>
      <c r="K38" s="18"/>
      <c r="L38" s="213">
        <v>0</v>
      </c>
      <c r="M38" s="395"/>
      <c r="N38" s="31">
        <v>0</v>
      </c>
      <c r="O38" s="334"/>
      <c r="P38" s="333">
        <f t="shared" si="4"/>
        <v>0</v>
      </c>
      <c r="Q38" s="196"/>
      <c r="R38" s="31">
        <f t="shared" si="0"/>
        <v>0</v>
      </c>
      <c r="S38" s="7"/>
      <c r="T38" s="268"/>
      <c r="U38" s="276"/>
      <c r="V38" s="277"/>
      <c r="W38" s="276"/>
      <c r="Y38" s="240" t="s">
        <v>197</v>
      </c>
      <c r="Z38" s="10" t="s">
        <v>196</v>
      </c>
      <c r="AA38" s="232">
        <v>42046</v>
      </c>
      <c r="AB38" s="239">
        <v>274.27999999999997</v>
      </c>
      <c r="AC38" s="239">
        <v>323.58999999999997</v>
      </c>
      <c r="AD38" s="239">
        <v>42.07</v>
      </c>
      <c r="AE38" s="239">
        <v>281.52</v>
      </c>
    </row>
    <row r="39" spans="8:31">
      <c r="H39" s="357"/>
      <c r="I39" s="396" t="s">
        <v>158</v>
      </c>
      <c r="J39" s="382" t="s">
        <v>159</v>
      </c>
      <c r="K39" s="51"/>
      <c r="L39" s="383">
        <v>0</v>
      </c>
      <c r="M39" s="384"/>
      <c r="N39" s="54">
        <f>+M39*3</f>
        <v>0</v>
      </c>
      <c r="O39" s="385"/>
      <c r="P39" s="386">
        <f t="shared" si="4"/>
        <v>0</v>
      </c>
      <c r="Q39" s="387"/>
      <c r="R39" s="54">
        <f t="shared" si="0"/>
        <v>0</v>
      </c>
      <c r="S39" s="7"/>
      <c r="T39" s="268"/>
      <c r="U39" s="269"/>
      <c r="V39" s="270"/>
      <c r="W39" s="275"/>
      <c r="Y39" s="240" t="s">
        <v>195</v>
      </c>
      <c r="Z39" s="10" t="s">
        <v>194</v>
      </c>
      <c r="AA39" s="232">
        <v>42801</v>
      </c>
      <c r="AB39" s="239">
        <v>144</v>
      </c>
      <c r="AC39" s="239">
        <v>243.6</v>
      </c>
      <c r="AD39" s="239">
        <v>31.67</v>
      </c>
      <c r="AE39" s="239">
        <v>211.93</v>
      </c>
    </row>
    <row r="40" spans="8:31">
      <c r="I40" s="41"/>
      <c r="J40" s="42"/>
      <c r="K40" s="65">
        <f t="shared" ref="K40:Q40" si="5">SUM(K5:K39)</f>
        <v>0</v>
      </c>
      <c r="L40" s="66">
        <f t="shared" si="5"/>
        <v>0</v>
      </c>
      <c r="M40" s="56">
        <f t="shared" si="5"/>
        <v>0</v>
      </c>
      <c r="N40" s="58">
        <f t="shared" si="5"/>
        <v>0</v>
      </c>
      <c r="O40" s="335">
        <f t="shared" si="5"/>
        <v>573</v>
      </c>
      <c r="P40" s="336">
        <f t="shared" si="5"/>
        <v>2688</v>
      </c>
      <c r="Q40" s="58">
        <f t="shared" si="5"/>
        <v>0</v>
      </c>
      <c r="R40" s="57">
        <f t="shared" si="0"/>
        <v>2688</v>
      </c>
      <c r="S40" s="7"/>
      <c r="T40" s="268"/>
      <c r="U40" s="269"/>
      <c r="V40" s="270"/>
      <c r="W40" s="271"/>
      <c r="Y40" s="240" t="s">
        <v>193</v>
      </c>
      <c r="Z40" s="10" t="s">
        <v>192</v>
      </c>
      <c r="AA40" s="232">
        <v>42499</v>
      </c>
      <c r="AB40" s="239">
        <v>12</v>
      </c>
      <c r="AC40" s="239">
        <v>21.2</v>
      </c>
      <c r="AD40" s="239">
        <v>2.76</v>
      </c>
      <c r="AE40" s="239">
        <v>18.440000000000001</v>
      </c>
    </row>
    <row r="41" spans="8:31">
      <c r="L41" s="167" t="s">
        <v>105</v>
      </c>
      <c r="M41" s="168">
        <v>245</v>
      </c>
      <c r="N41" s="167" t="s">
        <v>105</v>
      </c>
      <c r="O41" s="168"/>
      <c r="P41" s="175">
        <f>+P42-P40</f>
        <v>0</v>
      </c>
      <c r="Q41" s="168"/>
      <c r="R41" s="175">
        <f>+R11+R15</f>
        <v>180</v>
      </c>
      <c r="S41" s="7"/>
      <c r="T41" s="268"/>
      <c r="U41" s="269"/>
      <c r="V41" s="272"/>
      <c r="W41" s="270"/>
      <c r="Y41" s="285" t="s">
        <v>191</v>
      </c>
      <c r="Z41" s="286" t="s">
        <v>190</v>
      </c>
      <c r="AA41" s="287">
        <v>42046</v>
      </c>
      <c r="AB41" s="282">
        <v>696</v>
      </c>
      <c r="AC41" s="282">
        <v>827.2</v>
      </c>
      <c r="AD41" s="282">
        <v>107.21</v>
      </c>
      <c r="AE41" s="288">
        <v>719.99</v>
      </c>
    </row>
    <row r="42" spans="8:31">
      <c r="L42" s="169"/>
      <c r="M42" s="170">
        <f>+M40-M41</f>
        <v>-245</v>
      </c>
      <c r="N42" s="171" t="s">
        <v>147</v>
      </c>
      <c r="O42" s="169"/>
      <c r="P42" s="169">
        <v>2688</v>
      </c>
      <c r="Q42" s="393" t="s">
        <v>133</v>
      </c>
      <c r="R42" s="392">
        <f>+R40-R41</f>
        <v>2508</v>
      </c>
      <c r="S42" s="7"/>
      <c r="T42" s="268"/>
      <c r="U42" s="269"/>
      <c r="V42" s="272"/>
      <c r="W42" s="270"/>
      <c r="Y42" s="240" t="s">
        <v>189</v>
      </c>
      <c r="Z42" s="10" t="s">
        <v>188</v>
      </c>
      <c r="AA42" s="232">
        <v>43347</v>
      </c>
      <c r="AB42" s="239">
        <v>432</v>
      </c>
      <c r="AC42" s="239">
        <v>660</v>
      </c>
      <c r="AD42" s="239">
        <v>85.8</v>
      </c>
      <c r="AE42" s="239">
        <v>574.20000000000005</v>
      </c>
    </row>
    <row r="43" spans="8:31">
      <c r="T43" s="274"/>
      <c r="U43" s="269"/>
      <c r="V43" s="270"/>
      <c r="W43" s="278"/>
      <c r="Y43" s="240" t="s">
        <v>187</v>
      </c>
      <c r="Z43" s="10" t="s">
        <v>186</v>
      </c>
      <c r="AA43" s="232">
        <v>42837</v>
      </c>
      <c r="AB43" s="239">
        <v>504</v>
      </c>
      <c r="AC43" s="239">
        <v>744</v>
      </c>
      <c r="AD43" s="239">
        <v>91.22</v>
      </c>
      <c r="AE43" s="239">
        <v>652.78</v>
      </c>
    </row>
    <row r="44" spans="8:31">
      <c r="T44" s="268"/>
      <c r="U44" s="276"/>
      <c r="V44" s="277"/>
      <c r="W44" s="279"/>
      <c r="Y44" s="240" t="s">
        <v>185</v>
      </c>
      <c r="Z44" s="10" t="s">
        <v>184</v>
      </c>
      <c r="AA44" s="232">
        <v>42125</v>
      </c>
      <c r="AB44" s="239">
        <v>432</v>
      </c>
      <c r="AC44" s="239">
        <v>660</v>
      </c>
      <c r="AD44" s="239">
        <v>80.92</v>
      </c>
      <c r="AE44" s="239">
        <v>579.08000000000004</v>
      </c>
    </row>
    <row r="45" spans="8:31">
      <c r="P45" s="67"/>
      <c r="T45" s="270"/>
      <c r="U45" s="269"/>
      <c r="V45" s="270"/>
      <c r="W45" s="270"/>
      <c r="Y45" s="285" t="s">
        <v>183</v>
      </c>
      <c r="Z45" s="286" t="s">
        <v>74</v>
      </c>
      <c r="AA45" s="287">
        <v>42499</v>
      </c>
      <c r="AB45" s="282">
        <v>576</v>
      </c>
      <c r="AC45" s="282">
        <v>827.59</v>
      </c>
      <c r="AD45" s="282">
        <v>107.59</v>
      </c>
      <c r="AE45" s="288">
        <v>720</v>
      </c>
    </row>
    <row r="46" spans="8:31">
      <c r="P46" s="67"/>
      <c r="T46" s="270"/>
      <c r="U46" s="269"/>
      <c r="V46" s="270"/>
      <c r="W46" s="270"/>
      <c r="Y46" s="285" t="s">
        <v>182</v>
      </c>
      <c r="Z46" s="286" t="s">
        <v>51</v>
      </c>
      <c r="AA46" s="287">
        <v>42375</v>
      </c>
      <c r="AB46" s="282">
        <v>624</v>
      </c>
      <c r="AC46" s="282">
        <v>827.6</v>
      </c>
      <c r="AD46" s="282">
        <v>107.59</v>
      </c>
      <c r="AE46" s="288">
        <v>720.01</v>
      </c>
    </row>
    <row r="47" spans="8:31">
      <c r="T47" s="270"/>
      <c r="U47" s="269"/>
      <c r="V47" s="270"/>
      <c r="W47" s="270"/>
      <c r="Y47" s="240" t="s">
        <v>181</v>
      </c>
      <c r="Z47" s="10" t="s">
        <v>180</v>
      </c>
      <c r="AA47" s="232">
        <v>42375</v>
      </c>
      <c r="AB47" s="239">
        <v>492</v>
      </c>
      <c r="AC47" s="239">
        <v>730</v>
      </c>
      <c r="AD47" s="239">
        <v>94.9</v>
      </c>
      <c r="AE47" s="239">
        <v>635.1</v>
      </c>
    </row>
    <row r="48" spans="8:31">
      <c r="T48" s="270"/>
      <c r="U48" s="269"/>
      <c r="V48" s="270"/>
      <c r="W48" s="270"/>
      <c r="Y48" s="240" t="s">
        <v>179</v>
      </c>
      <c r="Z48" s="10" t="s">
        <v>49</v>
      </c>
      <c r="AA48" s="232">
        <v>42897</v>
      </c>
      <c r="AB48" s="239">
        <v>12</v>
      </c>
      <c r="AC48" s="239">
        <v>21.2</v>
      </c>
      <c r="AD48" s="239">
        <v>2.64</v>
      </c>
      <c r="AE48" s="239">
        <v>18.559999999999999</v>
      </c>
    </row>
    <row r="49" spans="20:35">
      <c r="T49" s="270"/>
      <c r="U49" s="269"/>
      <c r="V49" s="270"/>
      <c r="W49" s="270"/>
      <c r="Y49" s="240" t="s">
        <v>178</v>
      </c>
      <c r="Z49" s="10" t="s">
        <v>177</v>
      </c>
      <c r="AA49" s="232" t="s">
        <v>176</v>
      </c>
      <c r="AB49" s="239">
        <v>444</v>
      </c>
      <c r="AC49" s="239">
        <v>674</v>
      </c>
      <c r="AD49" s="239">
        <v>87.62</v>
      </c>
      <c r="AE49" s="239">
        <v>586.38</v>
      </c>
    </row>
    <row r="50" spans="20:35">
      <c r="T50" s="270"/>
      <c r="U50" s="269"/>
      <c r="V50" s="270"/>
      <c r="W50" s="270"/>
      <c r="Y50" s="240" t="s">
        <v>175</v>
      </c>
      <c r="Z50" s="10" t="s">
        <v>57</v>
      </c>
      <c r="AA50" s="232">
        <v>42889</v>
      </c>
      <c r="AB50" s="239">
        <v>528</v>
      </c>
      <c r="AC50" s="239">
        <v>772</v>
      </c>
      <c r="AD50" s="239">
        <v>90.63</v>
      </c>
      <c r="AE50" s="239">
        <v>681.37</v>
      </c>
    </row>
    <row r="51" spans="20:35">
      <c r="T51" s="270"/>
      <c r="U51" s="269"/>
      <c r="V51" s="270"/>
      <c r="W51" s="270"/>
      <c r="Y51" s="130"/>
      <c r="Z51" s="237"/>
      <c r="AA51" s="236"/>
      <c r="AB51" s="235">
        <f>SUM(AB35:AB50)</f>
        <v>6358.28</v>
      </c>
      <c r="AC51" s="235">
        <f>SUM(AC35:AC50)</f>
        <v>9136.7799999999988</v>
      </c>
      <c r="AD51" s="235">
        <f>SUM(AD35:AD50)</f>
        <v>1167.2400000000002</v>
      </c>
      <c r="AE51" s="235">
        <f>SUM(AE35:AE50)</f>
        <v>7969.5400000000009</v>
      </c>
    </row>
    <row r="52" spans="20:35">
      <c r="T52" s="270"/>
      <c r="U52" s="269"/>
      <c r="V52" s="270"/>
      <c r="W52" s="270"/>
    </row>
    <row r="53" spans="20:35">
      <c r="Y53" s="291" t="s">
        <v>230</v>
      </c>
      <c r="Z53" s="292"/>
      <c r="AA53" s="292"/>
      <c r="AB53" s="292"/>
      <c r="AC53" s="293" t="s">
        <v>229</v>
      </c>
      <c r="AD53" s="294" t="s">
        <v>213</v>
      </c>
      <c r="AE53" s="295"/>
      <c r="AF53" s="248"/>
      <c r="AG53" s="249"/>
      <c r="AH53" s="249"/>
      <c r="AI53" s="254"/>
    </row>
    <row r="54" spans="20:35">
      <c r="Y54" s="296" t="s">
        <v>228</v>
      </c>
      <c r="Z54" s="297" t="s">
        <v>227</v>
      </c>
      <c r="AA54" s="298"/>
      <c r="AB54" s="298"/>
      <c r="AC54" s="299" t="s">
        <v>226</v>
      </c>
      <c r="AD54" s="260" t="s">
        <v>213</v>
      </c>
      <c r="AE54" s="300"/>
      <c r="AF54" s="260"/>
      <c r="AG54" s="261"/>
      <c r="AH54" s="261"/>
      <c r="AI54" s="254"/>
    </row>
    <row r="55" spans="20:35">
      <c r="Y55" s="296" t="s">
        <v>225</v>
      </c>
      <c r="Z55" s="301" t="s">
        <v>224</v>
      </c>
      <c r="AA55" s="299" t="s">
        <v>223</v>
      </c>
      <c r="AB55" s="302">
        <v>43256</v>
      </c>
      <c r="AC55" s="303" t="s">
        <v>222</v>
      </c>
      <c r="AD55" s="304">
        <v>2018</v>
      </c>
      <c r="AE55" s="305"/>
      <c r="AF55" s="256"/>
      <c r="AG55" s="10"/>
      <c r="AH55" s="10"/>
      <c r="AI55" s="10"/>
    </row>
    <row r="56" spans="20:35">
      <c r="Y56" s="306" t="s">
        <v>221</v>
      </c>
      <c r="Z56" s="301" t="s">
        <v>220</v>
      </c>
      <c r="AA56" s="299" t="s">
        <v>219</v>
      </c>
      <c r="AB56" s="253" t="s">
        <v>218</v>
      </c>
      <c r="AC56" s="299" t="s">
        <v>217</v>
      </c>
      <c r="AD56" s="302">
        <v>43348</v>
      </c>
      <c r="AE56" s="307"/>
      <c r="AF56" s="248"/>
      <c r="AG56" s="249"/>
      <c r="AH56" s="249"/>
      <c r="AI56" s="254"/>
    </row>
    <row r="57" spans="20:35">
      <c r="Y57" s="306" t="s">
        <v>216</v>
      </c>
      <c r="Z57" s="301" t="s">
        <v>215</v>
      </c>
      <c r="AA57" s="299" t="s">
        <v>214</v>
      </c>
      <c r="AB57" s="248" t="s">
        <v>213</v>
      </c>
      <c r="AC57" s="299" t="s">
        <v>212</v>
      </c>
      <c r="AD57" s="248" t="s">
        <v>211</v>
      </c>
      <c r="AE57" s="307"/>
      <c r="AF57" s="248"/>
      <c r="AG57" s="249"/>
      <c r="AH57" s="249"/>
      <c r="AI57" s="250"/>
    </row>
    <row r="58" spans="20:35" ht="17.25" thickBot="1">
      <c r="Y58" s="308" t="s">
        <v>210</v>
      </c>
      <c r="Z58" s="247" t="s">
        <v>209</v>
      </c>
      <c r="AA58" s="246" t="s">
        <v>208</v>
      </c>
      <c r="AB58" s="246" t="s">
        <v>207</v>
      </c>
      <c r="AC58" s="246" t="s">
        <v>206</v>
      </c>
      <c r="AD58" s="246" t="s">
        <v>205</v>
      </c>
      <c r="AE58" s="309" t="s">
        <v>204</v>
      </c>
      <c r="AF58" s="290"/>
      <c r="AG58" s="246" t="s">
        <v>237</v>
      </c>
      <c r="AH58" s="246" t="s">
        <v>236</v>
      </c>
      <c r="AI58" s="246" t="s">
        <v>235</v>
      </c>
    </row>
    <row r="59" spans="20:35">
      <c r="Y59" s="310" t="s">
        <v>202</v>
      </c>
      <c r="Z59" s="256" t="s">
        <v>201</v>
      </c>
      <c r="AA59" s="311">
        <v>43102</v>
      </c>
      <c r="AB59" s="238">
        <v>444</v>
      </c>
      <c r="AC59" s="238">
        <v>748</v>
      </c>
      <c r="AD59" s="238">
        <v>97.24</v>
      </c>
      <c r="AE59" s="312">
        <v>650.76</v>
      </c>
      <c r="AF59" s="238"/>
      <c r="AG59" s="239">
        <v>74</v>
      </c>
      <c r="AH59" s="239">
        <v>150</v>
      </c>
      <c r="AI59" s="239">
        <v>5</v>
      </c>
    </row>
    <row r="60" spans="20:35">
      <c r="Y60" s="310" t="s">
        <v>200</v>
      </c>
      <c r="Z60" s="256" t="s">
        <v>199</v>
      </c>
      <c r="AA60" s="311">
        <v>42837</v>
      </c>
      <c r="AB60" s="238">
        <v>204</v>
      </c>
      <c r="AC60" s="238">
        <v>378.8</v>
      </c>
      <c r="AD60" s="238">
        <v>49.24</v>
      </c>
      <c r="AE60" s="312">
        <v>329.56</v>
      </c>
      <c r="AF60" s="238"/>
      <c r="AG60" s="239">
        <v>34</v>
      </c>
      <c r="AH60" s="239">
        <v>102</v>
      </c>
      <c r="AI60" s="239">
        <v>4</v>
      </c>
    </row>
    <row r="61" spans="20:35">
      <c r="Y61" s="310" t="s">
        <v>198</v>
      </c>
      <c r="Z61" s="256" t="s">
        <v>143</v>
      </c>
      <c r="AA61" s="311">
        <v>42837</v>
      </c>
      <c r="AB61" s="238">
        <v>540</v>
      </c>
      <c r="AC61" s="238">
        <v>876</v>
      </c>
      <c r="AD61" s="238">
        <v>113.88</v>
      </c>
      <c r="AE61" s="312">
        <v>762.12</v>
      </c>
      <c r="AF61" s="238"/>
      <c r="AG61" s="239">
        <v>90</v>
      </c>
      <c r="AH61" s="239">
        <v>150</v>
      </c>
      <c r="AI61" s="239">
        <v>5</v>
      </c>
    </row>
    <row r="62" spans="20:35">
      <c r="Y62" s="310" t="s">
        <v>197</v>
      </c>
      <c r="Z62" s="256" t="s">
        <v>196</v>
      </c>
      <c r="AA62" s="311">
        <v>42046</v>
      </c>
      <c r="AB62" s="238">
        <v>274.27999999999997</v>
      </c>
      <c r="AC62" s="238">
        <v>369.3</v>
      </c>
      <c r="AD62" s="238">
        <v>48.01</v>
      </c>
      <c r="AE62" s="312">
        <v>321.29000000000002</v>
      </c>
      <c r="AF62" s="238"/>
      <c r="AG62" s="239">
        <v>45.71</v>
      </c>
      <c r="AH62" s="239">
        <v>0</v>
      </c>
      <c r="AI62" s="239">
        <v>3</v>
      </c>
    </row>
    <row r="63" spans="20:35">
      <c r="Y63" s="310" t="s">
        <v>195</v>
      </c>
      <c r="Z63" s="256" t="s">
        <v>194</v>
      </c>
      <c r="AA63" s="311">
        <v>42801</v>
      </c>
      <c r="AB63" s="238">
        <v>144</v>
      </c>
      <c r="AC63" s="238">
        <v>267.60000000000002</v>
      </c>
      <c r="AD63" s="238">
        <v>34.79</v>
      </c>
      <c r="AE63" s="312">
        <v>232.81</v>
      </c>
      <c r="AF63" s="238"/>
      <c r="AG63" s="239">
        <v>24</v>
      </c>
      <c r="AH63" s="239">
        <v>72</v>
      </c>
      <c r="AI63" s="239">
        <v>3</v>
      </c>
    </row>
    <row r="64" spans="20:35">
      <c r="Y64" s="310" t="s">
        <v>193</v>
      </c>
      <c r="Z64" s="256" t="s">
        <v>192</v>
      </c>
      <c r="AA64" s="311">
        <v>42499</v>
      </c>
      <c r="AB64" s="238">
        <v>12</v>
      </c>
      <c r="AC64" s="238">
        <v>23.2</v>
      </c>
      <c r="AD64" s="238">
        <v>3.02</v>
      </c>
      <c r="AE64" s="312">
        <v>20.18</v>
      </c>
      <c r="AF64" s="238"/>
      <c r="AG64" s="239">
        <v>2</v>
      </c>
      <c r="AH64" s="239">
        <v>6</v>
      </c>
      <c r="AI64" s="239">
        <v>1</v>
      </c>
    </row>
    <row r="65" spans="25:35">
      <c r="Y65" s="310" t="s">
        <v>191</v>
      </c>
      <c r="Z65" s="256" t="s">
        <v>190</v>
      </c>
      <c r="AA65" s="311">
        <v>42046</v>
      </c>
      <c r="AB65" s="238">
        <v>696</v>
      </c>
      <c r="AC65" s="238">
        <v>943.2</v>
      </c>
      <c r="AD65" s="238">
        <v>122.24</v>
      </c>
      <c r="AE65" s="312">
        <v>820.96</v>
      </c>
      <c r="AF65" s="238"/>
      <c r="AG65" s="239">
        <v>116</v>
      </c>
      <c r="AH65" s="239">
        <v>9.1999999999999993</v>
      </c>
      <c r="AI65" s="239">
        <v>5</v>
      </c>
    </row>
    <row r="66" spans="25:35">
      <c r="Y66" s="310" t="s">
        <v>189</v>
      </c>
      <c r="Z66" s="256" t="s">
        <v>188</v>
      </c>
      <c r="AA66" s="311">
        <v>43347</v>
      </c>
      <c r="AB66" s="238">
        <v>432</v>
      </c>
      <c r="AC66" s="238">
        <v>732</v>
      </c>
      <c r="AD66" s="238">
        <v>95.16</v>
      </c>
      <c r="AE66" s="312">
        <v>636.84</v>
      </c>
      <c r="AF66" s="238"/>
      <c r="AG66" s="239">
        <v>72</v>
      </c>
      <c r="AH66" s="239">
        <v>150</v>
      </c>
      <c r="AI66" s="239">
        <v>5</v>
      </c>
    </row>
    <row r="67" spans="25:35">
      <c r="Y67" s="310" t="s">
        <v>187</v>
      </c>
      <c r="Z67" s="256" t="s">
        <v>186</v>
      </c>
      <c r="AA67" s="311">
        <v>42837</v>
      </c>
      <c r="AB67" s="238">
        <v>504</v>
      </c>
      <c r="AC67" s="238">
        <v>828</v>
      </c>
      <c r="AD67" s="238">
        <v>101.51</v>
      </c>
      <c r="AE67" s="312">
        <v>726.49</v>
      </c>
      <c r="AF67" s="238"/>
      <c r="AG67" s="239">
        <v>84</v>
      </c>
      <c r="AH67" s="239">
        <v>150</v>
      </c>
      <c r="AI67" s="239">
        <v>5</v>
      </c>
    </row>
    <row r="68" spans="25:35">
      <c r="Y68" s="310" t="s">
        <v>185</v>
      </c>
      <c r="Z68" s="256" t="s">
        <v>184</v>
      </c>
      <c r="AA68" s="311">
        <v>42125</v>
      </c>
      <c r="AB68" s="238">
        <v>432</v>
      </c>
      <c r="AC68" s="238">
        <v>732</v>
      </c>
      <c r="AD68" s="238">
        <v>89.75</v>
      </c>
      <c r="AE68" s="312">
        <v>642.25</v>
      </c>
      <c r="AF68" s="238"/>
      <c r="AG68" s="239">
        <v>72</v>
      </c>
      <c r="AH68" s="239">
        <v>150</v>
      </c>
      <c r="AI68" s="239">
        <v>5</v>
      </c>
    </row>
    <row r="69" spans="25:35">
      <c r="Y69" s="310" t="s">
        <v>183</v>
      </c>
      <c r="Z69" s="256" t="s">
        <v>74</v>
      </c>
      <c r="AA69" s="311">
        <v>42499</v>
      </c>
      <c r="AB69" s="238">
        <v>576</v>
      </c>
      <c r="AC69" s="238">
        <v>923.59</v>
      </c>
      <c r="AD69" s="238">
        <v>120.07</v>
      </c>
      <c r="AE69" s="312">
        <v>803.52</v>
      </c>
      <c r="AF69" s="238"/>
      <c r="AG69" s="239">
        <v>96</v>
      </c>
      <c r="AH69" s="239">
        <v>149.59</v>
      </c>
      <c r="AI69" s="239">
        <v>5</v>
      </c>
    </row>
    <row r="70" spans="25:35">
      <c r="Y70" s="310" t="s">
        <v>182</v>
      </c>
      <c r="Z70" s="256" t="s">
        <v>51</v>
      </c>
      <c r="AA70" s="311">
        <v>42375</v>
      </c>
      <c r="AB70" s="238">
        <v>624</v>
      </c>
      <c r="AC70" s="238">
        <v>931.6</v>
      </c>
      <c r="AD70" s="238">
        <v>121.11</v>
      </c>
      <c r="AE70" s="312">
        <v>810.49</v>
      </c>
      <c r="AF70" s="238"/>
      <c r="AG70" s="239">
        <v>104</v>
      </c>
      <c r="AH70" s="239">
        <v>93.6</v>
      </c>
      <c r="AI70" s="239">
        <v>5</v>
      </c>
    </row>
    <row r="71" spans="25:35">
      <c r="Y71" s="310" t="s">
        <v>181</v>
      </c>
      <c r="Z71" s="256" t="s">
        <v>180</v>
      </c>
      <c r="AA71" s="311">
        <v>42375</v>
      </c>
      <c r="AB71" s="238">
        <v>492</v>
      </c>
      <c r="AC71" s="238">
        <v>812</v>
      </c>
      <c r="AD71" s="238">
        <v>105.56</v>
      </c>
      <c r="AE71" s="312">
        <v>706.44</v>
      </c>
      <c r="AF71" s="238"/>
      <c r="AG71" s="239">
        <v>82</v>
      </c>
      <c r="AH71" s="239">
        <v>150</v>
      </c>
      <c r="AI71" s="239">
        <v>5</v>
      </c>
    </row>
    <row r="72" spans="25:35">
      <c r="Y72" s="310" t="s">
        <v>179</v>
      </c>
      <c r="Z72" s="256" t="s">
        <v>49</v>
      </c>
      <c r="AA72" s="311">
        <v>42897</v>
      </c>
      <c r="AB72" s="238">
        <v>12</v>
      </c>
      <c r="AC72" s="238">
        <v>23.2</v>
      </c>
      <c r="AD72" s="238">
        <v>2.89</v>
      </c>
      <c r="AE72" s="312">
        <v>20.309999999999999</v>
      </c>
      <c r="AF72" s="238"/>
      <c r="AG72" s="239">
        <v>2</v>
      </c>
      <c r="AH72" s="239">
        <v>6</v>
      </c>
      <c r="AI72" s="239">
        <v>1</v>
      </c>
    </row>
    <row r="73" spans="25:35">
      <c r="Y73" s="310" t="s">
        <v>178</v>
      </c>
      <c r="Z73" s="256" t="s">
        <v>177</v>
      </c>
      <c r="AA73" s="311" t="s">
        <v>176</v>
      </c>
      <c r="AB73" s="238">
        <v>444</v>
      </c>
      <c r="AC73" s="238">
        <v>748</v>
      </c>
      <c r="AD73" s="238">
        <v>97.24</v>
      </c>
      <c r="AE73" s="312">
        <v>650.76</v>
      </c>
      <c r="AF73" s="238"/>
      <c r="AG73" s="239">
        <v>74</v>
      </c>
      <c r="AH73" s="239">
        <v>150</v>
      </c>
      <c r="AI73" s="239">
        <v>5</v>
      </c>
    </row>
    <row r="74" spans="25:35">
      <c r="Y74" s="310" t="s">
        <v>175</v>
      </c>
      <c r="Z74" s="256" t="s">
        <v>57</v>
      </c>
      <c r="AA74" s="311">
        <v>42889</v>
      </c>
      <c r="AB74" s="238">
        <v>528</v>
      </c>
      <c r="AC74" s="238">
        <v>860</v>
      </c>
      <c r="AD74" s="238">
        <v>100.97</v>
      </c>
      <c r="AE74" s="312">
        <v>759.03</v>
      </c>
      <c r="AF74" s="238"/>
      <c r="AG74" s="239">
        <v>88</v>
      </c>
      <c r="AH74" s="239">
        <v>150</v>
      </c>
      <c r="AI74" s="239">
        <v>5</v>
      </c>
    </row>
    <row r="75" spans="25:35">
      <c r="Y75" s="313"/>
      <c r="Z75" s="314"/>
      <c r="AA75" s="315"/>
      <c r="AB75" s="316">
        <f>SUM(AB59:AB74)</f>
        <v>6358.28</v>
      </c>
      <c r="AC75" s="316">
        <f>SUM(AC59:AC74)</f>
        <v>10196.490000000002</v>
      </c>
      <c r="AD75" s="316">
        <f>SUM(AD59:AD74)</f>
        <v>1302.6800000000003</v>
      </c>
      <c r="AE75" s="317">
        <f>SUM(AE59:AE74)</f>
        <v>8893.8100000000013</v>
      </c>
      <c r="AF75" s="234"/>
      <c r="AG75" s="235">
        <f>SUM(AG59:AG74)</f>
        <v>1059.71</v>
      </c>
      <c r="AH75" s="235">
        <f>SUM(AH59:AH74)</f>
        <v>1638.3899999999999</v>
      </c>
      <c r="AI75" s="235">
        <f>SUM(AI59:AI74)</f>
        <v>67</v>
      </c>
    </row>
  </sheetData>
  <mergeCells count="4">
    <mergeCell ref="I2:R2"/>
    <mergeCell ref="K3:N3"/>
    <mergeCell ref="O3:P3"/>
    <mergeCell ref="S3:U3"/>
  </mergeCells>
  <conditionalFormatting sqref="R40 R5">
    <cfRule type="cellIs" dxfId="18" priority="2" operator="lessThanOrEqual">
      <formula>0</formula>
    </cfRule>
  </conditionalFormatting>
  <conditionalFormatting sqref="R5:R39">
    <cfRule type="cellIs" dxfId="17" priority="1" operator="greaterThan">
      <formula>0</formula>
    </cfRule>
  </conditionalFormatting>
  <printOptions horizontalCentered="1"/>
  <pageMargins left="0" right="0" top="0.42" bottom="0" header="0.31496062992125984" footer="0.31496062992125984"/>
  <pageSetup paperSize="9" scale="82" orientation="portrait" r:id="rId1"/>
  <ignoredErrors>
    <ignoredError sqref="N8:R8 N20:R20 N18 P18:R18 N14:R14 N13 P13:R13 N16:R16 N15 P15:R15 N12 P12:R12 N10 N9 P9:R9 N19 P19:R19 N25:R25 N23 P23:R23 N11 P11:R11 N30:R30 N29 P29:R29 N27:R27 N26 P26:R26 N28 P28:R28 N24 P24:R24 P10:R10 N22:R22 N21 P21:R21 N17 P17:R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5"/>
  <sheetViews>
    <sheetView zoomScale="85" zoomScaleNormal="85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P24" sqref="P24"/>
    </sheetView>
  </sheetViews>
  <sheetFormatPr baseColWidth="10" defaultRowHeight="15"/>
  <cols>
    <col min="1" max="1" width="5.7109375" customWidth="1"/>
    <col min="2" max="2" width="0" hidden="1" customWidth="1"/>
    <col min="3" max="3" width="20.7109375" hidden="1" customWidth="1"/>
    <col min="4" max="4" width="20.7109375" style="1" hidden="1" customWidth="1"/>
    <col min="5" max="5" width="13.28515625" hidden="1" customWidth="1"/>
    <col min="6" max="6" width="10.42578125" style="2" hidden="1" customWidth="1"/>
    <col min="7" max="7" width="25.28515625" hidden="1" customWidth="1"/>
    <col min="8" max="8" width="12.5703125" bestFit="1" customWidth="1"/>
    <col min="9" max="9" width="8.7109375" customWidth="1"/>
    <col min="10" max="10" width="24.140625" customWidth="1"/>
    <col min="11" max="11" width="8.7109375" customWidth="1"/>
    <col min="12" max="12" width="10.7109375" bestFit="1" customWidth="1"/>
    <col min="13" max="13" width="8.7109375" customWidth="1"/>
    <col min="14" max="14" width="10.7109375" customWidth="1"/>
    <col min="15" max="15" width="8.7109375" customWidth="1"/>
    <col min="16" max="16" width="11.42578125" customWidth="1"/>
    <col min="17" max="17" width="11.7109375" customWidth="1"/>
    <col min="18" max="18" width="12.5703125" bestFit="1" customWidth="1"/>
    <col min="19" max="19" width="2.7109375" customWidth="1"/>
    <col min="20" max="20" width="13.28515625" customWidth="1"/>
    <col min="21" max="21" width="11.5703125" style="181" customWidth="1"/>
    <col min="22" max="22" width="10.7109375" customWidth="1"/>
    <col min="23" max="23" width="20.7109375" customWidth="1"/>
    <col min="24" max="24" width="2" customWidth="1"/>
    <col min="25" max="25" width="11.85546875" customWidth="1"/>
    <col min="26" max="26" width="20" customWidth="1"/>
    <col min="27" max="27" width="11.7109375" customWidth="1"/>
    <col min="28" max="28" width="11" customWidth="1"/>
    <col min="29" max="29" width="10.7109375" customWidth="1"/>
    <col min="30" max="30" width="10.42578125" customWidth="1"/>
    <col min="31" max="31" width="12.28515625" customWidth="1"/>
    <col min="32" max="32" width="9.42578125" customWidth="1"/>
    <col min="33" max="33" width="9.85546875" customWidth="1"/>
    <col min="34" max="34" width="9.5703125" customWidth="1"/>
  </cols>
  <sheetData>
    <row r="1" spans="8:32" ht="5.0999999999999996" customHeight="1"/>
    <row r="2" spans="8:32">
      <c r="H2" s="357"/>
      <c r="I2" s="409" t="s">
        <v>256</v>
      </c>
      <c r="J2" s="409"/>
      <c r="K2" s="409"/>
      <c r="L2" s="409"/>
      <c r="M2" s="409"/>
      <c r="N2" s="409"/>
      <c r="O2" s="409"/>
      <c r="P2" s="409"/>
      <c r="Q2" s="409"/>
      <c r="R2" s="409"/>
      <c r="S2" s="357"/>
      <c r="T2" s="359"/>
      <c r="U2" s="357"/>
    </row>
    <row r="3" spans="8:32">
      <c r="H3" s="357"/>
      <c r="I3" s="358"/>
      <c r="J3" s="358"/>
      <c r="K3" s="410" t="s">
        <v>58</v>
      </c>
      <c r="L3" s="411"/>
      <c r="M3" s="411"/>
      <c r="N3" s="412"/>
      <c r="O3" s="411" t="s">
        <v>59</v>
      </c>
      <c r="P3" s="412"/>
      <c r="Q3" s="358"/>
      <c r="R3" s="358"/>
      <c r="S3" s="413">
        <f ca="1">+TODAY()</f>
        <v>43292</v>
      </c>
      <c r="T3" s="414"/>
      <c r="U3" s="414"/>
    </row>
    <row r="4" spans="8:32" ht="34.5">
      <c r="H4" s="357"/>
      <c r="I4" s="360" t="s">
        <v>11</v>
      </c>
      <c r="J4" s="360" t="s">
        <v>3</v>
      </c>
      <c r="K4" s="361" t="s">
        <v>23</v>
      </c>
      <c r="L4" s="361" t="s">
        <v>77</v>
      </c>
      <c r="M4" s="361" t="s">
        <v>23</v>
      </c>
      <c r="N4" s="361" t="s">
        <v>77</v>
      </c>
      <c r="O4" s="363" t="s">
        <v>23</v>
      </c>
      <c r="P4" s="363" t="s">
        <v>257</v>
      </c>
      <c r="Q4" s="364" t="s">
        <v>258</v>
      </c>
      <c r="R4" s="365" t="s">
        <v>60</v>
      </c>
      <c r="S4" s="366"/>
      <c r="T4" s="357"/>
      <c r="U4" s="357"/>
    </row>
    <row r="5" spans="8:32">
      <c r="H5" s="357"/>
      <c r="I5" s="16" t="s">
        <v>61</v>
      </c>
      <c r="J5" s="349" t="s">
        <v>62</v>
      </c>
      <c r="K5" s="18"/>
      <c r="L5" s="184">
        <f>+K5*3</f>
        <v>0</v>
      </c>
      <c r="M5" s="117"/>
      <c r="N5" s="23">
        <v>0</v>
      </c>
      <c r="O5" s="330"/>
      <c r="P5" s="331"/>
      <c r="Q5" s="210"/>
      <c r="R5" s="211">
        <f>+L5+N5+P5+Q5</f>
        <v>0</v>
      </c>
      <c r="S5" s="7"/>
      <c r="T5" s="137">
        <v>968</v>
      </c>
      <c r="U5" s="182">
        <v>125.45</v>
      </c>
      <c r="V5" s="139">
        <v>842.55</v>
      </c>
      <c r="W5" s="280" t="s">
        <v>231</v>
      </c>
      <c r="Y5" s="289" t="s">
        <v>234</v>
      </c>
      <c r="Z5" s="169"/>
      <c r="AA5" s="169"/>
      <c r="AB5" s="169"/>
      <c r="AC5" s="169" t="s">
        <v>229</v>
      </c>
      <c r="AD5" s="169" t="s">
        <v>213</v>
      </c>
      <c r="AE5" s="169"/>
      <c r="AF5" s="169"/>
    </row>
    <row r="6" spans="8:32">
      <c r="H6" s="357"/>
      <c r="I6" s="388" t="s">
        <v>4</v>
      </c>
      <c r="J6" s="350" t="s">
        <v>12</v>
      </c>
      <c r="K6" s="18"/>
      <c r="L6" s="185">
        <f>+K6*3</f>
        <v>0</v>
      </c>
      <c r="M6" s="22"/>
      <c r="N6" s="23">
        <v>0</v>
      </c>
      <c r="O6" s="330"/>
      <c r="P6" s="331"/>
      <c r="Q6" s="196"/>
      <c r="R6" s="209">
        <f t="shared" ref="R6:R41" si="0">+L6+N6+P6+Q6</f>
        <v>0</v>
      </c>
      <c r="S6" s="7"/>
      <c r="T6" s="140">
        <f>+U6+V6</f>
        <v>827.2031333452021</v>
      </c>
      <c r="U6" s="284">
        <f>+U5*V6/V5</f>
        <v>107.20313334520208</v>
      </c>
      <c r="V6" s="141">
        <v>720</v>
      </c>
      <c r="W6" s="161"/>
      <c r="Y6" s="169" t="s">
        <v>228</v>
      </c>
      <c r="Z6" s="169" t="s">
        <v>227</v>
      </c>
      <c r="AA6" s="169"/>
      <c r="AB6" s="169"/>
      <c r="AC6" s="169" t="s">
        <v>226</v>
      </c>
      <c r="AD6" s="169" t="s">
        <v>213</v>
      </c>
      <c r="AE6" s="169"/>
      <c r="AF6" s="169"/>
    </row>
    <row r="7" spans="8:32">
      <c r="H7" s="357"/>
      <c r="I7" s="113" t="s">
        <v>1</v>
      </c>
      <c r="J7" s="351" t="s">
        <v>56</v>
      </c>
      <c r="K7" s="120"/>
      <c r="L7" s="215">
        <f>+K7*3</f>
        <v>0</v>
      </c>
      <c r="M7" s="117"/>
      <c r="N7" s="31">
        <v>0</v>
      </c>
      <c r="O7" s="332">
        <v>31</v>
      </c>
      <c r="P7" s="333">
        <f>IF(O7&gt;25,150,(O7)*6)</f>
        <v>150</v>
      </c>
      <c r="Q7" s="196"/>
      <c r="R7" s="23">
        <f t="shared" si="0"/>
        <v>150</v>
      </c>
      <c r="S7" s="7"/>
      <c r="T7" s="142">
        <f>+T5-T6</f>
        <v>140.7968666547979</v>
      </c>
      <c r="U7" s="183"/>
      <c r="V7" s="143"/>
      <c r="W7" s="4" t="s">
        <v>145</v>
      </c>
      <c r="Y7" s="169" t="s">
        <v>225</v>
      </c>
      <c r="Z7" s="169" t="s">
        <v>224</v>
      </c>
      <c r="AA7" s="169" t="s">
        <v>223</v>
      </c>
      <c r="AB7" s="169">
        <v>43256</v>
      </c>
      <c r="AC7" s="169" t="s">
        <v>222</v>
      </c>
      <c r="AD7" s="169">
        <v>2018</v>
      </c>
      <c r="AE7" s="169"/>
      <c r="AF7" s="169"/>
    </row>
    <row r="8" spans="8:32">
      <c r="H8" s="357"/>
      <c r="I8" s="113" t="s">
        <v>2</v>
      </c>
      <c r="J8" s="351" t="s">
        <v>47</v>
      </c>
      <c r="K8" s="115"/>
      <c r="L8" s="215"/>
      <c r="M8" s="117"/>
      <c r="N8" s="31">
        <f>+M8*3</f>
        <v>0</v>
      </c>
      <c r="O8" s="332">
        <v>26</v>
      </c>
      <c r="P8" s="333">
        <f>IF(O8&gt;25,150,(O8)*6)</f>
        <v>150</v>
      </c>
      <c r="Q8" s="195"/>
      <c r="R8" s="31">
        <f t="shared" si="0"/>
        <v>150</v>
      </c>
      <c r="S8" s="7"/>
      <c r="T8" s="144">
        <v>150</v>
      </c>
      <c r="U8" s="163">
        <f>+T8-T7</f>
        <v>9.2031333452021045</v>
      </c>
      <c r="V8" s="164" t="s">
        <v>232</v>
      </c>
      <c r="W8" s="9">
        <f>150-U8</f>
        <v>140.7968666547979</v>
      </c>
      <c r="Y8" s="169" t="s">
        <v>221</v>
      </c>
      <c r="Z8" s="169" t="s">
        <v>220</v>
      </c>
      <c r="AA8" s="169" t="s">
        <v>219</v>
      </c>
      <c r="AB8" s="169" t="s">
        <v>218</v>
      </c>
      <c r="AC8" s="169" t="s">
        <v>217</v>
      </c>
      <c r="AD8" s="169">
        <v>43348</v>
      </c>
      <c r="AE8" s="169"/>
      <c r="AF8" s="169"/>
    </row>
    <row r="9" spans="8:32">
      <c r="H9" s="357"/>
      <c r="I9" s="388" t="s">
        <v>0</v>
      </c>
      <c r="J9" s="350" t="s">
        <v>7</v>
      </c>
      <c r="K9" s="18"/>
      <c r="L9" s="213">
        <f>+K9*5</f>
        <v>0</v>
      </c>
      <c r="M9" s="22"/>
      <c r="N9" s="23">
        <f>5*M9</f>
        <v>0</v>
      </c>
      <c r="O9" s="330"/>
      <c r="P9" s="331">
        <v>0</v>
      </c>
      <c r="Q9" s="196"/>
      <c r="R9" s="23"/>
      <c r="S9" s="7"/>
      <c r="T9" s="26"/>
      <c r="W9" s="162"/>
      <c r="Y9" s="267" t="s">
        <v>216</v>
      </c>
      <c r="Z9" s="267" t="s">
        <v>215</v>
      </c>
      <c r="AA9" s="267" t="s">
        <v>214</v>
      </c>
      <c r="AB9" s="267" t="s">
        <v>213</v>
      </c>
      <c r="AC9" s="267" t="s">
        <v>212</v>
      </c>
      <c r="AD9" s="267" t="s">
        <v>211</v>
      </c>
      <c r="AE9" s="267"/>
      <c r="AF9" s="267"/>
    </row>
    <row r="10" spans="8:32" ht="17.25" thickBot="1">
      <c r="H10" s="357"/>
      <c r="I10" s="388" t="s">
        <v>5</v>
      </c>
      <c r="J10" s="352" t="s">
        <v>71</v>
      </c>
      <c r="K10" s="18"/>
      <c r="L10" s="213">
        <f>+K10*3</f>
        <v>0</v>
      </c>
      <c r="M10" s="389"/>
      <c r="N10" s="31">
        <f>+M10*3</f>
        <v>0</v>
      </c>
      <c r="O10" s="334">
        <v>31</v>
      </c>
      <c r="P10" s="333">
        <f t="shared" ref="P10:P28" si="1">IF(O10&gt;25,150,(O10)*6)</f>
        <v>150</v>
      </c>
      <c r="Q10" s="196"/>
      <c r="R10" s="31">
        <f t="shared" si="0"/>
        <v>150</v>
      </c>
      <c r="S10" s="7"/>
      <c r="T10" s="137">
        <v>828</v>
      </c>
      <c r="U10" s="182">
        <v>107.64</v>
      </c>
      <c r="V10" s="139">
        <v>720.36</v>
      </c>
      <c r="W10" s="280" t="s">
        <v>74</v>
      </c>
      <c r="Y10" s="265" t="s">
        <v>210</v>
      </c>
      <c r="Z10" s="265" t="s">
        <v>209</v>
      </c>
      <c r="AA10" s="266" t="s">
        <v>208</v>
      </c>
      <c r="AB10" s="266" t="s">
        <v>207</v>
      </c>
      <c r="AC10" s="266" t="s">
        <v>206</v>
      </c>
      <c r="AD10" s="266" t="s">
        <v>205</v>
      </c>
      <c r="AE10" s="266" t="s">
        <v>204</v>
      </c>
      <c r="AF10" s="266" t="s">
        <v>203</v>
      </c>
    </row>
    <row r="11" spans="8:32">
      <c r="H11" s="357"/>
      <c r="I11" s="388" t="s">
        <v>27</v>
      </c>
      <c r="J11" s="352" t="s">
        <v>28</v>
      </c>
      <c r="K11" s="18"/>
      <c r="L11" s="213">
        <v>0</v>
      </c>
      <c r="M11" s="389"/>
      <c r="N11" s="31">
        <v>0</v>
      </c>
      <c r="O11" s="334"/>
      <c r="P11" s="333">
        <f t="shared" si="1"/>
        <v>0</v>
      </c>
      <c r="Q11" s="195"/>
      <c r="R11" s="31">
        <f t="shared" si="0"/>
        <v>0</v>
      </c>
      <c r="S11" s="7"/>
      <c r="T11" s="140">
        <f>+U11+V11</f>
        <v>827.58620689655174</v>
      </c>
      <c r="U11" s="284">
        <f>+U10*V11/V10</f>
        <v>107.58620689655173</v>
      </c>
      <c r="V11" s="141">
        <v>720</v>
      </c>
      <c r="W11" s="162"/>
      <c r="Y11" s="240" t="s">
        <v>202</v>
      </c>
      <c r="Z11" s="10" t="s">
        <v>201</v>
      </c>
      <c r="AA11" s="232">
        <v>43102</v>
      </c>
      <c r="AB11" s="239">
        <v>444</v>
      </c>
      <c r="AC11" s="281">
        <v>674</v>
      </c>
      <c r="AD11" s="239">
        <v>87.62</v>
      </c>
      <c r="AE11" s="239">
        <v>586.38</v>
      </c>
      <c r="AF11" s="238">
        <f t="shared" ref="AF11:AF26" si="2">720-AE11</f>
        <v>133.62</v>
      </c>
    </row>
    <row r="12" spans="8:32">
      <c r="H12" s="356" t="s">
        <v>155</v>
      </c>
      <c r="I12" s="377" t="s">
        <v>8</v>
      </c>
      <c r="J12" s="378" t="s">
        <v>29</v>
      </c>
      <c r="K12" s="381"/>
      <c r="L12" s="379"/>
      <c r="M12" s="325"/>
      <c r="N12" s="326">
        <v>0</v>
      </c>
      <c r="O12" s="325">
        <v>28</v>
      </c>
      <c r="P12" s="326">
        <f t="shared" si="1"/>
        <v>150</v>
      </c>
      <c r="Q12" s="380"/>
      <c r="R12" s="326">
        <f t="shared" si="0"/>
        <v>150</v>
      </c>
      <c r="S12" s="7"/>
      <c r="T12" s="142">
        <f>+T10-T11</f>
        <v>0.41379310344825626</v>
      </c>
      <c r="U12" s="183"/>
      <c r="V12" s="143"/>
      <c r="W12" s="4" t="s">
        <v>145</v>
      </c>
      <c r="Y12" s="240" t="s">
        <v>200</v>
      </c>
      <c r="Z12" s="10" t="s">
        <v>199</v>
      </c>
      <c r="AA12" s="232">
        <v>42837</v>
      </c>
      <c r="AB12" s="239">
        <v>204</v>
      </c>
      <c r="AC12" s="281">
        <v>344.8</v>
      </c>
      <c r="AD12" s="239">
        <v>44.82</v>
      </c>
      <c r="AE12" s="239">
        <v>299.98</v>
      </c>
      <c r="AF12" s="238">
        <f t="shared" si="2"/>
        <v>420.02</v>
      </c>
    </row>
    <row r="13" spans="8:32">
      <c r="H13" s="357"/>
      <c r="I13" s="388" t="s">
        <v>63</v>
      </c>
      <c r="J13" s="352" t="s">
        <v>33</v>
      </c>
      <c r="K13" s="18"/>
      <c r="L13" s="213"/>
      <c r="M13" s="389"/>
      <c r="N13" s="31">
        <f>+M13*3</f>
        <v>0</v>
      </c>
      <c r="O13" s="334"/>
      <c r="P13" s="333">
        <f t="shared" si="1"/>
        <v>0</v>
      </c>
      <c r="Q13" s="195"/>
      <c r="R13" s="31">
        <f t="shared" si="0"/>
        <v>0</v>
      </c>
      <c r="S13" s="7"/>
      <c r="T13" s="144">
        <v>150</v>
      </c>
      <c r="U13" s="163">
        <f>+T13-T12</f>
        <v>149.58620689655174</v>
      </c>
      <c r="V13" s="164" t="s">
        <v>232</v>
      </c>
      <c r="W13" s="9">
        <f>150-U13</f>
        <v>0.41379310344825626</v>
      </c>
      <c r="Y13" s="240" t="s">
        <v>198</v>
      </c>
      <c r="Z13" s="10" t="s">
        <v>143</v>
      </c>
      <c r="AA13" s="232">
        <v>42837</v>
      </c>
      <c r="AB13" s="239">
        <v>540</v>
      </c>
      <c r="AC13" s="281">
        <v>786</v>
      </c>
      <c r="AD13" s="239">
        <v>102.18</v>
      </c>
      <c r="AE13" s="239">
        <v>683.82</v>
      </c>
      <c r="AF13" s="238">
        <f t="shared" si="2"/>
        <v>36.17999999999995</v>
      </c>
    </row>
    <row r="14" spans="8:32">
      <c r="H14" s="357"/>
      <c r="I14" s="388" t="s">
        <v>24</v>
      </c>
      <c r="J14" s="352" t="s">
        <v>30</v>
      </c>
      <c r="K14" s="18"/>
      <c r="L14" s="213">
        <v>0</v>
      </c>
      <c r="M14" s="389"/>
      <c r="N14" s="31">
        <v>0</v>
      </c>
      <c r="O14" s="334">
        <v>26</v>
      </c>
      <c r="P14" s="333">
        <f t="shared" si="1"/>
        <v>150</v>
      </c>
      <c r="Q14" s="195"/>
      <c r="R14" s="31">
        <f t="shared" si="0"/>
        <v>150</v>
      </c>
      <c r="S14" s="7"/>
      <c r="T14" s="26"/>
      <c r="W14" s="162"/>
      <c r="Y14" s="240" t="s">
        <v>197</v>
      </c>
      <c r="Z14" s="10" t="s">
        <v>196</v>
      </c>
      <c r="AA14" s="232">
        <v>42046</v>
      </c>
      <c r="AB14" s="239">
        <v>274.27999999999997</v>
      </c>
      <c r="AC14" s="281">
        <v>323.58999999999997</v>
      </c>
      <c r="AD14" s="239">
        <v>42.07</v>
      </c>
      <c r="AE14" s="239">
        <v>281.52</v>
      </c>
      <c r="AF14" s="238">
        <f t="shared" si="2"/>
        <v>438.48</v>
      </c>
    </row>
    <row r="15" spans="8:32">
      <c r="H15" s="357"/>
      <c r="I15" s="388" t="s">
        <v>18</v>
      </c>
      <c r="J15" s="350" t="s">
        <v>72</v>
      </c>
      <c r="K15" s="18"/>
      <c r="L15" s="213">
        <f>+K15*3</f>
        <v>0</v>
      </c>
      <c r="M15" s="389"/>
      <c r="N15" s="31">
        <f>+M15*3</f>
        <v>0</v>
      </c>
      <c r="O15" s="334"/>
      <c r="P15" s="333">
        <f t="shared" si="1"/>
        <v>0</v>
      </c>
      <c r="Q15" s="195"/>
      <c r="R15" s="31">
        <f t="shared" si="0"/>
        <v>0</v>
      </c>
      <c r="S15" s="7"/>
      <c r="T15" s="137">
        <v>884</v>
      </c>
      <c r="U15" s="182">
        <v>114.92</v>
      </c>
      <c r="V15" s="139">
        <v>769.08</v>
      </c>
      <c r="W15" s="280" t="s">
        <v>51</v>
      </c>
      <c r="Y15" s="240" t="s">
        <v>195</v>
      </c>
      <c r="Z15" s="10" t="s">
        <v>194</v>
      </c>
      <c r="AA15" s="232">
        <v>42801</v>
      </c>
      <c r="AB15" s="239">
        <v>144</v>
      </c>
      <c r="AC15" s="281">
        <v>243.6</v>
      </c>
      <c r="AD15" s="239">
        <v>31.67</v>
      </c>
      <c r="AE15" s="239">
        <v>211.93</v>
      </c>
      <c r="AF15" s="238">
        <f t="shared" si="2"/>
        <v>508.07</v>
      </c>
    </row>
    <row r="16" spans="8:32">
      <c r="H16" s="356" t="s">
        <v>155</v>
      </c>
      <c r="I16" s="377" t="s">
        <v>31</v>
      </c>
      <c r="J16" s="378" t="s">
        <v>32</v>
      </c>
      <c r="K16" s="381"/>
      <c r="L16" s="379"/>
      <c r="M16" s="325"/>
      <c r="N16" s="326">
        <f t="shared" ref="N16:N26" si="3">+M16*3</f>
        <v>0</v>
      </c>
      <c r="O16" s="325"/>
      <c r="P16" s="326">
        <f t="shared" si="1"/>
        <v>0</v>
      </c>
      <c r="Q16" s="380"/>
      <c r="R16" s="326">
        <f t="shared" si="0"/>
        <v>0</v>
      </c>
      <c r="S16" s="7"/>
      <c r="T16" s="140">
        <f>+U16+V16</f>
        <v>827.58620689655174</v>
      </c>
      <c r="U16" s="284">
        <f>+U15*V16/V15</f>
        <v>107.58620689655172</v>
      </c>
      <c r="V16" s="141">
        <v>720</v>
      </c>
      <c r="W16" s="162"/>
      <c r="Y16" s="240" t="s">
        <v>193</v>
      </c>
      <c r="Z16" s="10" t="s">
        <v>192</v>
      </c>
      <c r="AA16" s="232">
        <v>42499</v>
      </c>
      <c r="AB16" s="239">
        <v>12</v>
      </c>
      <c r="AC16" s="281">
        <v>21.2</v>
      </c>
      <c r="AD16" s="239">
        <v>2.76</v>
      </c>
      <c r="AE16" s="239">
        <v>18.440000000000001</v>
      </c>
      <c r="AF16" s="238">
        <f t="shared" si="2"/>
        <v>701.56</v>
      </c>
    </row>
    <row r="17" spans="1:32">
      <c r="H17" s="357"/>
      <c r="I17" s="388" t="s">
        <v>54</v>
      </c>
      <c r="J17" s="352" t="s">
        <v>55</v>
      </c>
      <c r="K17" s="18"/>
      <c r="L17" s="213">
        <f>+K17*3</f>
        <v>0</v>
      </c>
      <c r="M17" s="389"/>
      <c r="N17" s="31">
        <f t="shared" si="3"/>
        <v>0</v>
      </c>
      <c r="O17" s="334"/>
      <c r="P17" s="333">
        <f t="shared" si="1"/>
        <v>0</v>
      </c>
      <c r="Q17" s="195"/>
      <c r="R17" s="31">
        <f t="shared" si="0"/>
        <v>0</v>
      </c>
      <c r="S17" s="7"/>
      <c r="T17" s="142">
        <f>+T15-T16</f>
        <v>56.413793103448256</v>
      </c>
      <c r="U17" s="183"/>
      <c r="V17" s="143"/>
      <c r="W17" s="4" t="s">
        <v>145</v>
      </c>
      <c r="Y17" s="245" t="s">
        <v>191</v>
      </c>
      <c r="Z17" s="244" t="s">
        <v>190</v>
      </c>
      <c r="AA17" s="243">
        <v>42046</v>
      </c>
      <c r="AB17" s="242">
        <v>696</v>
      </c>
      <c r="AC17" s="282">
        <v>968</v>
      </c>
      <c r="AD17" s="242">
        <v>125.45</v>
      </c>
      <c r="AE17" s="241">
        <v>842.55</v>
      </c>
      <c r="AF17" s="319">
        <f t="shared" si="2"/>
        <v>-122.54999999999995</v>
      </c>
    </row>
    <row r="18" spans="1:32">
      <c r="H18" s="357"/>
      <c r="I18" s="113" t="s">
        <v>10</v>
      </c>
      <c r="J18" s="351" t="s">
        <v>34</v>
      </c>
      <c r="K18" s="115"/>
      <c r="L18" s="215"/>
      <c r="M18" s="117"/>
      <c r="N18" s="31">
        <f t="shared" si="3"/>
        <v>0</v>
      </c>
      <c r="O18" s="332">
        <v>22</v>
      </c>
      <c r="P18" s="333">
        <f t="shared" si="1"/>
        <v>132</v>
      </c>
      <c r="Q18" s="195"/>
      <c r="R18" s="31">
        <f t="shared" si="0"/>
        <v>132</v>
      </c>
      <c r="S18" s="7"/>
      <c r="T18" s="144">
        <v>150</v>
      </c>
      <c r="U18" s="163">
        <f>+T18-T17+0.01</f>
        <v>93.596206896551749</v>
      </c>
      <c r="V18" s="164" t="s">
        <v>232</v>
      </c>
      <c r="W18" s="9">
        <f>150-U18</f>
        <v>56.403793103448251</v>
      </c>
      <c r="Y18" s="240" t="s">
        <v>189</v>
      </c>
      <c r="Z18" s="10" t="s">
        <v>188</v>
      </c>
      <c r="AA18" s="232">
        <v>43347</v>
      </c>
      <c r="AB18" s="239">
        <v>432</v>
      </c>
      <c r="AC18" s="281">
        <v>660</v>
      </c>
      <c r="AD18" s="239">
        <v>85.8</v>
      </c>
      <c r="AE18" s="239">
        <v>574.20000000000005</v>
      </c>
      <c r="AF18" s="238">
        <f t="shared" si="2"/>
        <v>145.79999999999995</v>
      </c>
    </row>
    <row r="19" spans="1:32">
      <c r="H19" s="375"/>
      <c r="I19" s="113" t="s">
        <v>9</v>
      </c>
      <c r="J19" s="351" t="s">
        <v>35</v>
      </c>
      <c r="K19" s="115"/>
      <c r="L19" s="116"/>
      <c r="M19" s="117"/>
      <c r="N19" s="31">
        <f t="shared" si="3"/>
        <v>0</v>
      </c>
      <c r="O19" s="117">
        <v>39</v>
      </c>
      <c r="P19" s="31">
        <f t="shared" si="1"/>
        <v>150</v>
      </c>
      <c r="Q19" s="195"/>
      <c r="R19" s="31">
        <f t="shared" si="0"/>
        <v>150</v>
      </c>
      <c r="S19" s="7"/>
      <c r="T19" s="26"/>
      <c r="W19" s="162"/>
      <c r="Y19" s="240" t="s">
        <v>187</v>
      </c>
      <c r="Z19" s="10" t="s">
        <v>186</v>
      </c>
      <c r="AA19" s="232">
        <v>42837</v>
      </c>
      <c r="AB19" s="239">
        <v>504</v>
      </c>
      <c r="AC19" s="281">
        <v>744</v>
      </c>
      <c r="AD19" s="239">
        <v>91.22</v>
      </c>
      <c r="AE19" s="239">
        <v>652.78</v>
      </c>
      <c r="AF19" s="238">
        <f t="shared" si="2"/>
        <v>67.220000000000027</v>
      </c>
    </row>
    <row r="20" spans="1:32">
      <c r="H20" s="375"/>
      <c r="I20" s="113" t="s">
        <v>36</v>
      </c>
      <c r="J20" s="351" t="s">
        <v>37</v>
      </c>
      <c r="K20" s="115"/>
      <c r="L20" s="116"/>
      <c r="M20" s="117"/>
      <c r="N20" s="31">
        <f t="shared" si="3"/>
        <v>0</v>
      </c>
      <c r="O20" s="117">
        <v>2</v>
      </c>
      <c r="P20" s="31">
        <f t="shared" si="1"/>
        <v>12</v>
      </c>
      <c r="Q20" s="195"/>
      <c r="R20" s="31">
        <f t="shared" si="0"/>
        <v>12</v>
      </c>
      <c r="S20" s="7"/>
      <c r="T20" s="268"/>
      <c r="U20" s="269"/>
      <c r="V20" s="270"/>
      <c r="W20" s="271"/>
      <c r="Y20" s="240" t="s">
        <v>185</v>
      </c>
      <c r="Z20" s="10" t="s">
        <v>184</v>
      </c>
      <c r="AA20" s="232">
        <v>42125</v>
      </c>
      <c r="AB20" s="239">
        <v>432</v>
      </c>
      <c r="AC20" s="281">
        <v>660</v>
      </c>
      <c r="AD20" s="239">
        <v>80.92</v>
      </c>
      <c r="AE20" s="239">
        <v>579.08000000000004</v>
      </c>
      <c r="AF20" s="238">
        <f t="shared" si="2"/>
        <v>140.91999999999996</v>
      </c>
    </row>
    <row r="21" spans="1:32">
      <c r="H21" s="357"/>
      <c r="I21" s="388" t="s">
        <v>64</v>
      </c>
      <c r="J21" s="352" t="s">
        <v>65</v>
      </c>
      <c r="K21" s="35"/>
      <c r="L21" s="213"/>
      <c r="M21" s="389"/>
      <c r="N21" s="31">
        <v>0</v>
      </c>
      <c r="O21" s="334">
        <v>24</v>
      </c>
      <c r="P21" s="333">
        <f t="shared" si="1"/>
        <v>144</v>
      </c>
      <c r="Q21" s="195"/>
      <c r="R21" s="31">
        <f t="shared" si="0"/>
        <v>144</v>
      </c>
      <c r="S21" s="7"/>
      <c r="T21" s="268"/>
      <c r="U21" s="269"/>
      <c r="V21" s="272"/>
      <c r="W21" s="273"/>
      <c r="Y21" s="245" t="s">
        <v>183</v>
      </c>
      <c r="Z21" s="244" t="s">
        <v>74</v>
      </c>
      <c r="AA21" s="243">
        <v>42499</v>
      </c>
      <c r="AB21" s="242">
        <v>576</v>
      </c>
      <c r="AC21" s="282">
        <v>828</v>
      </c>
      <c r="AD21" s="242">
        <v>107.64</v>
      </c>
      <c r="AE21" s="241">
        <v>720.36</v>
      </c>
      <c r="AF21" s="319">
        <f t="shared" si="2"/>
        <v>-0.36000000000001364</v>
      </c>
    </row>
    <row r="22" spans="1:32">
      <c r="H22" s="357"/>
      <c r="I22" s="388" t="s">
        <v>13</v>
      </c>
      <c r="J22" s="352" t="s">
        <v>38</v>
      </c>
      <c r="K22" s="35"/>
      <c r="L22" s="213"/>
      <c r="M22" s="389"/>
      <c r="N22" s="31">
        <f t="shared" si="3"/>
        <v>0</v>
      </c>
      <c r="O22" s="334">
        <v>2</v>
      </c>
      <c r="P22" s="333">
        <f t="shared" si="1"/>
        <v>12</v>
      </c>
      <c r="Q22" s="195"/>
      <c r="R22" s="31">
        <f t="shared" si="0"/>
        <v>12</v>
      </c>
      <c r="S22" s="7"/>
      <c r="T22" s="274"/>
      <c r="U22" s="269"/>
      <c r="V22" s="270"/>
      <c r="W22" s="275"/>
      <c r="Y22" s="245" t="s">
        <v>182</v>
      </c>
      <c r="Z22" s="244" t="s">
        <v>51</v>
      </c>
      <c r="AA22" s="243">
        <v>42375</v>
      </c>
      <c r="AB22" s="242">
        <v>624</v>
      </c>
      <c r="AC22" s="282">
        <v>884</v>
      </c>
      <c r="AD22" s="242">
        <v>114.92</v>
      </c>
      <c r="AE22" s="241">
        <v>769.08</v>
      </c>
      <c r="AF22" s="319">
        <f t="shared" si="2"/>
        <v>-49.080000000000041</v>
      </c>
    </row>
    <row r="23" spans="1:32">
      <c r="H23" s="357"/>
      <c r="I23" s="388" t="s">
        <v>39</v>
      </c>
      <c r="J23" s="352" t="s">
        <v>40</v>
      </c>
      <c r="K23" s="35"/>
      <c r="L23" s="213"/>
      <c r="M23" s="389"/>
      <c r="N23" s="31">
        <f t="shared" si="3"/>
        <v>0</v>
      </c>
      <c r="O23" s="334"/>
      <c r="P23" s="333">
        <f t="shared" si="1"/>
        <v>0</v>
      </c>
      <c r="Q23" s="195"/>
      <c r="R23" s="31">
        <f t="shared" si="0"/>
        <v>0</v>
      </c>
      <c r="S23" s="7"/>
      <c r="T23" s="268"/>
      <c r="U23" s="276"/>
      <c r="V23" s="277">
        <v>34.285699999999999</v>
      </c>
      <c r="W23" s="276"/>
      <c r="Y23" s="240" t="s">
        <v>181</v>
      </c>
      <c r="Z23" s="10" t="s">
        <v>180</v>
      </c>
      <c r="AA23" s="232">
        <v>42375</v>
      </c>
      <c r="AB23" s="239">
        <v>492</v>
      </c>
      <c r="AC23" s="281">
        <v>730</v>
      </c>
      <c r="AD23" s="239">
        <v>94.9</v>
      </c>
      <c r="AE23" s="239">
        <v>635.1</v>
      </c>
      <c r="AF23" s="238">
        <f t="shared" si="2"/>
        <v>84.899999999999977</v>
      </c>
    </row>
    <row r="24" spans="1:32">
      <c r="H24" s="357"/>
      <c r="I24" s="388" t="s">
        <v>41</v>
      </c>
      <c r="J24" s="352" t="s">
        <v>42</v>
      </c>
      <c r="K24" s="35"/>
      <c r="L24" s="213"/>
      <c r="M24" s="389"/>
      <c r="N24" s="31">
        <f t="shared" si="3"/>
        <v>0</v>
      </c>
      <c r="O24" s="334"/>
      <c r="P24" s="333">
        <f t="shared" si="1"/>
        <v>0</v>
      </c>
      <c r="Q24" s="195"/>
      <c r="R24" s="31">
        <f t="shared" si="0"/>
        <v>0</v>
      </c>
      <c r="S24" s="7"/>
      <c r="T24" s="268"/>
      <c r="U24" s="269"/>
      <c r="V24" s="270">
        <f>+V23/6*7</f>
        <v>39.999983333333333</v>
      </c>
      <c r="W24" s="275"/>
      <c r="Y24" s="240" t="s">
        <v>179</v>
      </c>
      <c r="Z24" s="10" t="s">
        <v>49</v>
      </c>
      <c r="AA24" s="232">
        <v>42897</v>
      </c>
      <c r="AB24" s="239">
        <v>12</v>
      </c>
      <c r="AC24" s="281">
        <v>21.2</v>
      </c>
      <c r="AD24" s="239">
        <v>2.64</v>
      </c>
      <c r="AE24" s="239">
        <v>18.559999999999999</v>
      </c>
      <c r="AF24" s="238">
        <f t="shared" si="2"/>
        <v>701.44</v>
      </c>
    </row>
    <row r="25" spans="1:32">
      <c r="H25" s="357"/>
      <c r="I25" s="388" t="s">
        <v>26</v>
      </c>
      <c r="J25" s="352" t="s">
        <v>48</v>
      </c>
      <c r="K25" s="18"/>
      <c r="L25" s="213">
        <v>0</v>
      </c>
      <c r="M25" s="389"/>
      <c r="N25" s="31">
        <f t="shared" si="3"/>
        <v>0</v>
      </c>
      <c r="O25" s="334">
        <v>26</v>
      </c>
      <c r="P25" s="333">
        <f t="shared" si="1"/>
        <v>150</v>
      </c>
      <c r="Q25" s="195"/>
      <c r="R25" s="31">
        <f>+L25+N28+P25+Q25</f>
        <v>150</v>
      </c>
      <c r="S25" s="7"/>
      <c r="T25" s="268"/>
      <c r="U25" s="269"/>
      <c r="V25" s="270">
        <v>8</v>
      </c>
      <c r="W25" s="271"/>
      <c r="Y25" s="240" t="s">
        <v>178</v>
      </c>
      <c r="Z25" s="10" t="s">
        <v>177</v>
      </c>
      <c r="AA25" s="232" t="s">
        <v>176</v>
      </c>
      <c r="AB25" s="239">
        <v>444</v>
      </c>
      <c r="AC25" s="281">
        <v>674</v>
      </c>
      <c r="AD25" s="239">
        <v>87.62</v>
      </c>
      <c r="AE25" s="239">
        <v>586.38</v>
      </c>
      <c r="AF25" s="238">
        <f t="shared" si="2"/>
        <v>133.62</v>
      </c>
    </row>
    <row r="26" spans="1:32">
      <c r="H26" s="357"/>
      <c r="I26" s="388" t="s">
        <v>67</v>
      </c>
      <c r="J26" s="350" t="s">
        <v>68</v>
      </c>
      <c r="K26" s="18"/>
      <c r="L26" s="213">
        <v>0</v>
      </c>
      <c r="M26" s="22"/>
      <c r="N26" s="31">
        <f t="shared" si="3"/>
        <v>0</v>
      </c>
      <c r="O26" s="330"/>
      <c r="P26" s="333">
        <f t="shared" si="1"/>
        <v>0</v>
      </c>
      <c r="Q26" s="196"/>
      <c r="R26" s="31">
        <f t="shared" si="0"/>
        <v>0</v>
      </c>
      <c r="S26" s="7"/>
      <c r="T26" s="268"/>
      <c r="U26" s="269"/>
      <c r="V26" s="272">
        <f>+V25*V24</f>
        <v>319.99986666666666</v>
      </c>
      <c r="W26" s="271"/>
      <c r="Y26" s="240" t="s">
        <v>175</v>
      </c>
      <c r="Z26" s="10" t="s">
        <v>57</v>
      </c>
      <c r="AA26" s="232">
        <v>42889</v>
      </c>
      <c r="AB26" s="239">
        <v>528</v>
      </c>
      <c r="AC26" s="281">
        <v>772</v>
      </c>
      <c r="AD26" s="239">
        <v>90.63</v>
      </c>
      <c r="AE26" s="239">
        <v>681.37</v>
      </c>
      <c r="AF26" s="238">
        <f t="shared" si="2"/>
        <v>38.629999999999995</v>
      </c>
    </row>
    <row r="27" spans="1:32">
      <c r="H27" s="357"/>
      <c r="I27" s="388" t="s">
        <v>21</v>
      </c>
      <c r="J27" s="350" t="s">
        <v>152</v>
      </c>
      <c r="K27" s="18"/>
      <c r="L27" s="213">
        <v>0</v>
      </c>
      <c r="M27" s="22"/>
      <c r="N27" s="31">
        <v>0</v>
      </c>
      <c r="O27" s="334"/>
      <c r="P27" s="333">
        <f t="shared" si="1"/>
        <v>0</v>
      </c>
      <c r="Q27" s="196"/>
      <c r="R27" s="31">
        <f t="shared" si="0"/>
        <v>0</v>
      </c>
      <c r="S27" s="7"/>
      <c r="T27" s="274"/>
      <c r="U27" s="269"/>
      <c r="V27" s="270"/>
      <c r="W27" s="271"/>
      <c r="Y27" s="130"/>
      <c r="Z27" s="237"/>
      <c r="AA27" s="236"/>
      <c r="AB27" s="235">
        <f>SUM(AB11:AB26)</f>
        <v>6358.28</v>
      </c>
      <c r="AC27" s="283">
        <f>SUM(AC11:AC26)</f>
        <v>9334.39</v>
      </c>
      <c r="AD27" s="235">
        <f>SUM(AD11:AD26)</f>
        <v>1192.8600000000001</v>
      </c>
      <c r="AE27" s="235">
        <f>SUM(AE11:AE26)</f>
        <v>8141.53</v>
      </c>
      <c r="AF27" s="234"/>
    </row>
    <row r="28" spans="1:32">
      <c r="H28" s="375"/>
      <c r="I28" s="113" t="s">
        <v>43</v>
      </c>
      <c r="J28" s="351" t="s">
        <v>73</v>
      </c>
      <c r="K28" s="115"/>
      <c r="L28" s="116">
        <v>0</v>
      </c>
      <c r="M28" s="117"/>
      <c r="N28" s="31">
        <f>+M25*3</f>
        <v>0</v>
      </c>
      <c r="O28" s="117"/>
      <c r="P28" s="31">
        <f t="shared" si="1"/>
        <v>0</v>
      </c>
      <c r="Q28" s="195"/>
      <c r="R28" s="31">
        <f>+L28+N30+P28+Q28</f>
        <v>0</v>
      </c>
      <c r="S28" s="7"/>
      <c r="T28" s="268"/>
      <c r="U28" s="276"/>
      <c r="V28" s="277"/>
      <c r="W28" s="271"/>
      <c r="Y28" s="233"/>
      <c r="Z28" s="10"/>
      <c r="AA28" s="232"/>
      <c r="AB28" s="231"/>
      <c r="AC28" s="231"/>
      <c r="AD28" s="231"/>
      <c r="AE28" s="231"/>
      <c r="AF28" s="230"/>
    </row>
    <row r="29" spans="1:32">
      <c r="H29" s="358"/>
      <c r="I29" s="113" t="s">
        <v>44</v>
      </c>
      <c r="J29" s="351" t="s">
        <v>45</v>
      </c>
      <c r="K29" s="120"/>
      <c r="L29" s="215">
        <f>+K29*3</f>
        <v>0</v>
      </c>
      <c r="M29" s="117"/>
      <c r="N29" s="31">
        <v>0</v>
      </c>
      <c r="O29" s="332">
        <v>2</v>
      </c>
      <c r="P29" s="333">
        <f>IF(O29&gt;25,150,(O29)*6)</f>
        <v>12</v>
      </c>
      <c r="Q29" s="196"/>
      <c r="R29" s="23">
        <f t="shared" si="0"/>
        <v>12</v>
      </c>
      <c r="S29" s="7"/>
      <c r="T29" s="268"/>
      <c r="U29" s="269"/>
      <c r="V29" s="270"/>
      <c r="W29" s="271"/>
      <c r="Y29" s="289" t="s">
        <v>233</v>
      </c>
      <c r="Z29" s="264"/>
      <c r="AA29" s="264"/>
      <c r="AB29" s="264"/>
      <c r="AC29" s="250" t="s">
        <v>229</v>
      </c>
      <c r="AD29" s="249" t="s">
        <v>213</v>
      </c>
      <c r="AE29" s="249"/>
    </row>
    <row r="30" spans="1:32">
      <c r="A30" s="4"/>
      <c r="B30" s="4"/>
      <c r="C30" s="4"/>
      <c r="D30" s="3"/>
      <c r="E30" s="4"/>
      <c r="F30" s="166"/>
      <c r="G30" s="4"/>
      <c r="H30" s="358"/>
      <c r="I30" s="113" t="s">
        <v>14</v>
      </c>
      <c r="J30" s="351" t="s">
        <v>66</v>
      </c>
      <c r="K30" s="120"/>
      <c r="L30" s="215">
        <f>+K30*3</f>
        <v>0</v>
      </c>
      <c r="M30" s="117"/>
      <c r="N30" s="31">
        <f>+M28*3</f>
        <v>0</v>
      </c>
      <c r="O30" s="332">
        <v>35</v>
      </c>
      <c r="P30" s="333">
        <f>IF(O30&gt;25,150,(O30)*6)</f>
        <v>150</v>
      </c>
      <c r="Q30" s="196"/>
      <c r="R30" s="23">
        <f t="shared" si="0"/>
        <v>150</v>
      </c>
      <c r="S30" s="7"/>
      <c r="T30" s="268"/>
      <c r="U30" s="269"/>
      <c r="V30" s="270"/>
      <c r="W30" s="271"/>
      <c r="Y30" s="259" t="s">
        <v>228</v>
      </c>
      <c r="Z30" s="263" t="s">
        <v>227</v>
      </c>
      <c r="AA30" s="262"/>
      <c r="AB30" s="262"/>
      <c r="AC30" s="250" t="s">
        <v>226</v>
      </c>
      <c r="AD30" s="261" t="s">
        <v>213</v>
      </c>
      <c r="AE30" s="261"/>
    </row>
    <row r="31" spans="1:32">
      <c r="H31" s="357"/>
      <c r="I31" s="388" t="s">
        <v>15</v>
      </c>
      <c r="J31" s="350" t="s">
        <v>16</v>
      </c>
      <c r="K31" s="18"/>
      <c r="L31" s="213">
        <f>+K31*3</f>
        <v>0</v>
      </c>
      <c r="M31" s="389"/>
      <c r="N31" s="23">
        <f>5*M31</f>
        <v>0</v>
      </c>
      <c r="O31" s="334"/>
      <c r="P31" s="331">
        <f t="shared" ref="P31:P40" si="4">IF(O31&gt;25,150,(O31)*6)</f>
        <v>0</v>
      </c>
      <c r="Q31" s="196"/>
      <c r="R31" s="23">
        <f t="shared" si="0"/>
        <v>0</v>
      </c>
      <c r="S31" s="7"/>
      <c r="T31" s="268"/>
      <c r="U31" s="269"/>
      <c r="V31" s="272"/>
      <c r="W31" s="275"/>
      <c r="Y31" s="259" t="s">
        <v>225</v>
      </c>
      <c r="Z31" s="251" t="s">
        <v>224</v>
      </c>
      <c r="AA31" s="250" t="s">
        <v>223</v>
      </c>
      <c r="AB31" s="255">
        <v>43256</v>
      </c>
      <c r="AC31" s="258" t="s">
        <v>222</v>
      </c>
      <c r="AD31" s="257">
        <v>2018</v>
      </c>
      <c r="AE31" s="10"/>
    </row>
    <row r="32" spans="1:32" s="4" customFormat="1">
      <c r="A32"/>
      <c r="B32"/>
      <c r="C32"/>
      <c r="D32" s="1"/>
      <c r="E32"/>
      <c r="F32" s="2"/>
      <c r="G32"/>
      <c r="H32" s="357"/>
      <c r="I32" s="388" t="s">
        <v>17</v>
      </c>
      <c r="J32" s="352" t="s">
        <v>119</v>
      </c>
      <c r="K32" s="35"/>
      <c r="L32" s="213"/>
      <c r="M32" s="389"/>
      <c r="N32" s="31">
        <v>0</v>
      </c>
      <c r="O32" s="334">
        <v>25</v>
      </c>
      <c r="P32" s="333">
        <f t="shared" si="4"/>
        <v>150</v>
      </c>
      <c r="Q32" s="195"/>
      <c r="R32" s="31">
        <f t="shared" si="0"/>
        <v>150</v>
      </c>
      <c r="S32" s="7"/>
      <c r="T32" s="274"/>
      <c r="U32" s="269"/>
      <c r="V32" s="270"/>
      <c r="W32" s="278"/>
      <c r="Y32" s="252" t="s">
        <v>221</v>
      </c>
      <c r="Z32" s="251" t="s">
        <v>220</v>
      </c>
      <c r="AA32" s="250" t="s">
        <v>219</v>
      </c>
      <c r="AB32" s="254" t="s">
        <v>218</v>
      </c>
      <c r="AC32" s="250" t="s">
        <v>217</v>
      </c>
      <c r="AD32" s="255">
        <v>43348</v>
      </c>
      <c r="AE32" s="249"/>
    </row>
    <row r="33" spans="8:31">
      <c r="H33" s="357"/>
      <c r="I33" s="113" t="s">
        <v>75</v>
      </c>
      <c r="J33" s="351" t="s">
        <v>76</v>
      </c>
      <c r="K33" s="115"/>
      <c r="L33" s="215"/>
      <c r="M33" s="117"/>
      <c r="N33" s="31">
        <f>+M33*3</f>
        <v>0</v>
      </c>
      <c r="O33" s="332">
        <v>9</v>
      </c>
      <c r="P33" s="333">
        <f t="shared" si="4"/>
        <v>54</v>
      </c>
      <c r="Q33" s="195"/>
      <c r="R33" s="31">
        <f t="shared" si="0"/>
        <v>54</v>
      </c>
      <c r="S33" s="7"/>
      <c r="T33" s="268"/>
      <c r="U33" s="276"/>
      <c r="V33" s="277"/>
      <c r="W33" s="279"/>
      <c r="Y33" s="252" t="s">
        <v>216</v>
      </c>
      <c r="Z33" s="251" t="s">
        <v>215</v>
      </c>
      <c r="AA33" s="250" t="s">
        <v>214</v>
      </c>
      <c r="AB33" s="249" t="s">
        <v>213</v>
      </c>
      <c r="AC33" s="250" t="s">
        <v>212</v>
      </c>
      <c r="AD33" s="249" t="s">
        <v>211</v>
      </c>
      <c r="AE33" s="249"/>
    </row>
    <row r="34" spans="8:31" ht="17.25" thickBot="1">
      <c r="H34" s="357"/>
      <c r="I34" s="113" t="s">
        <v>146</v>
      </c>
      <c r="J34" s="351" t="s">
        <v>55</v>
      </c>
      <c r="K34" s="115"/>
      <c r="L34" s="215"/>
      <c r="M34" s="117"/>
      <c r="N34" s="31">
        <v>0</v>
      </c>
      <c r="O34" s="332"/>
      <c r="P34" s="333">
        <f t="shared" si="4"/>
        <v>0</v>
      </c>
      <c r="Q34" s="195"/>
      <c r="R34" s="31">
        <f t="shared" si="0"/>
        <v>0</v>
      </c>
      <c r="S34" s="7"/>
      <c r="T34" s="268"/>
      <c r="U34" s="269"/>
      <c r="V34" s="270"/>
      <c r="W34" s="275"/>
      <c r="Y34" s="247" t="s">
        <v>210</v>
      </c>
      <c r="Z34" s="247" t="s">
        <v>209</v>
      </c>
      <c r="AA34" s="246" t="s">
        <v>208</v>
      </c>
      <c r="AB34" s="246" t="s">
        <v>207</v>
      </c>
      <c r="AC34" s="246" t="s">
        <v>206</v>
      </c>
      <c r="AD34" s="246" t="s">
        <v>205</v>
      </c>
      <c r="AE34" s="246" t="s">
        <v>204</v>
      </c>
    </row>
    <row r="35" spans="8:31">
      <c r="H35" s="357"/>
      <c r="I35" s="113" t="s">
        <v>69</v>
      </c>
      <c r="J35" s="351" t="s">
        <v>70</v>
      </c>
      <c r="K35" s="115"/>
      <c r="L35" s="215">
        <v>0</v>
      </c>
      <c r="M35" s="117"/>
      <c r="N35" s="31">
        <f>+M35*3</f>
        <v>0</v>
      </c>
      <c r="O35" s="332">
        <v>30</v>
      </c>
      <c r="P35" s="333">
        <f t="shared" si="4"/>
        <v>150</v>
      </c>
      <c r="Q35" s="195"/>
      <c r="R35" s="31">
        <f t="shared" si="0"/>
        <v>150</v>
      </c>
      <c r="S35" s="7"/>
      <c r="T35" s="268"/>
      <c r="U35" s="269"/>
      <c r="V35" s="270"/>
      <c r="W35" s="271"/>
      <c r="Y35" s="240" t="s">
        <v>202</v>
      </c>
      <c r="Z35" s="10" t="s">
        <v>201</v>
      </c>
      <c r="AA35" s="232">
        <v>43102</v>
      </c>
      <c r="AB35" s="239">
        <v>444</v>
      </c>
      <c r="AC35" s="239">
        <v>674</v>
      </c>
      <c r="AD35" s="239">
        <v>87.62</v>
      </c>
      <c r="AE35" s="239">
        <v>586.38</v>
      </c>
    </row>
    <row r="36" spans="8:31">
      <c r="H36" s="357"/>
      <c r="I36" s="388" t="s">
        <v>91</v>
      </c>
      <c r="J36" s="352" t="s">
        <v>92</v>
      </c>
      <c r="K36" s="35"/>
      <c r="L36" s="213">
        <v>0</v>
      </c>
      <c r="M36" s="389"/>
      <c r="N36" s="31">
        <f>+M36*3</f>
        <v>0</v>
      </c>
      <c r="O36" s="334">
        <v>31</v>
      </c>
      <c r="P36" s="333">
        <f t="shared" si="4"/>
        <v>150</v>
      </c>
      <c r="Q36" s="195"/>
      <c r="R36" s="31">
        <f t="shared" si="0"/>
        <v>150</v>
      </c>
      <c r="S36" s="7"/>
      <c r="T36" s="268"/>
      <c r="U36" s="269"/>
      <c r="V36" s="272"/>
      <c r="W36" s="273"/>
      <c r="Y36" s="240" t="s">
        <v>200</v>
      </c>
      <c r="Z36" s="10" t="s">
        <v>199</v>
      </c>
      <c r="AA36" s="232">
        <v>42837</v>
      </c>
      <c r="AB36" s="239">
        <v>204</v>
      </c>
      <c r="AC36" s="239">
        <v>344.8</v>
      </c>
      <c r="AD36" s="239">
        <v>44.82</v>
      </c>
      <c r="AE36" s="239">
        <v>299.98</v>
      </c>
    </row>
    <row r="37" spans="8:31">
      <c r="H37" s="357"/>
      <c r="I37" s="388" t="s">
        <v>93</v>
      </c>
      <c r="J37" s="350" t="s">
        <v>94</v>
      </c>
      <c r="K37" s="18"/>
      <c r="L37" s="213">
        <v>0</v>
      </c>
      <c r="M37" s="389"/>
      <c r="N37" s="31">
        <v>0</v>
      </c>
      <c r="O37" s="334"/>
      <c r="P37" s="333">
        <f t="shared" si="4"/>
        <v>0</v>
      </c>
      <c r="Q37" s="196"/>
      <c r="R37" s="31">
        <f t="shared" si="0"/>
        <v>0</v>
      </c>
      <c r="S37" s="7"/>
      <c r="T37" s="274"/>
      <c r="U37" s="269"/>
      <c r="V37" s="270"/>
      <c r="W37" s="275"/>
      <c r="Y37" s="240" t="s">
        <v>198</v>
      </c>
      <c r="Z37" s="10" t="s">
        <v>143</v>
      </c>
      <c r="AA37" s="232">
        <v>42837</v>
      </c>
      <c r="AB37" s="239">
        <v>540</v>
      </c>
      <c r="AC37" s="239">
        <v>786</v>
      </c>
      <c r="AD37" s="239">
        <v>102.18</v>
      </c>
      <c r="AE37" s="239">
        <v>683.82</v>
      </c>
    </row>
    <row r="38" spans="8:31">
      <c r="H38" s="357"/>
      <c r="I38" s="388" t="s">
        <v>120</v>
      </c>
      <c r="J38" s="350" t="s">
        <v>121</v>
      </c>
      <c r="K38" s="18"/>
      <c r="L38" s="213">
        <v>0</v>
      </c>
      <c r="M38" s="389"/>
      <c r="N38" s="31">
        <v>0</v>
      </c>
      <c r="O38" s="334">
        <v>10</v>
      </c>
      <c r="P38" s="333">
        <f t="shared" si="4"/>
        <v>60</v>
      </c>
      <c r="Q38" s="196"/>
      <c r="R38" s="31">
        <f t="shared" si="0"/>
        <v>60</v>
      </c>
      <c r="S38" s="7"/>
      <c r="T38" s="268"/>
      <c r="U38" s="276"/>
      <c r="V38" s="277"/>
      <c r="W38" s="276"/>
      <c r="Y38" s="240" t="s">
        <v>197</v>
      </c>
      <c r="Z38" s="10" t="s">
        <v>196</v>
      </c>
      <c r="AA38" s="232">
        <v>42046</v>
      </c>
      <c r="AB38" s="239">
        <v>274.27999999999997</v>
      </c>
      <c r="AC38" s="239">
        <v>323.58999999999997</v>
      </c>
      <c r="AD38" s="239">
        <v>42.07</v>
      </c>
      <c r="AE38" s="239">
        <v>281.52</v>
      </c>
    </row>
    <row r="39" spans="8:31">
      <c r="H39" s="357"/>
      <c r="I39" s="388" t="s">
        <v>125</v>
      </c>
      <c r="J39" s="350" t="s">
        <v>126</v>
      </c>
      <c r="K39" s="18"/>
      <c r="L39" s="213">
        <v>0</v>
      </c>
      <c r="M39" s="389"/>
      <c r="N39" s="31">
        <v>0</v>
      </c>
      <c r="O39" s="334"/>
      <c r="P39" s="333">
        <f t="shared" si="4"/>
        <v>0</v>
      </c>
      <c r="Q39" s="196"/>
      <c r="R39" s="31">
        <f t="shared" si="0"/>
        <v>0</v>
      </c>
      <c r="S39" s="7"/>
      <c r="T39" s="268"/>
      <c r="U39" s="269"/>
      <c r="V39" s="270"/>
      <c r="W39" s="275"/>
      <c r="Y39" s="240" t="s">
        <v>195</v>
      </c>
      <c r="Z39" s="10" t="s">
        <v>194</v>
      </c>
      <c r="AA39" s="232">
        <v>42801</v>
      </c>
      <c r="AB39" s="239">
        <v>144</v>
      </c>
      <c r="AC39" s="239">
        <v>243.6</v>
      </c>
      <c r="AD39" s="239">
        <v>31.67</v>
      </c>
      <c r="AE39" s="239">
        <v>211.93</v>
      </c>
    </row>
    <row r="40" spans="8:31">
      <c r="H40" s="357"/>
      <c r="I40" s="390" t="s">
        <v>158</v>
      </c>
      <c r="J40" s="382" t="s">
        <v>159</v>
      </c>
      <c r="K40" s="51"/>
      <c r="L40" s="383">
        <v>0</v>
      </c>
      <c r="M40" s="384"/>
      <c r="N40" s="54">
        <f>+M40*3</f>
        <v>0</v>
      </c>
      <c r="O40" s="385"/>
      <c r="P40" s="386">
        <f t="shared" si="4"/>
        <v>0</v>
      </c>
      <c r="Q40" s="387"/>
      <c r="R40" s="54">
        <f t="shared" si="0"/>
        <v>0</v>
      </c>
      <c r="S40" s="7"/>
      <c r="T40" s="268"/>
      <c r="U40" s="269"/>
      <c r="V40" s="270"/>
      <c r="W40" s="271"/>
      <c r="Y40" s="240" t="s">
        <v>193</v>
      </c>
      <c r="Z40" s="10" t="s">
        <v>192</v>
      </c>
      <c r="AA40" s="232">
        <v>42499</v>
      </c>
      <c r="AB40" s="239">
        <v>12</v>
      </c>
      <c r="AC40" s="239">
        <v>21.2</v>
      </c>
      <c r="AD40" s="239">
        <v>2.76</v>
      </c>
      <c r="AE40" s="239">
        <v>18.440000000000001</v>
      </c>
    </row>
    <row r="41" spans="8:31">
      <c r="I41" s="41"/>
      <c r="J41" s="42"/>
      <c r="K41" s="65">
        <f t="shared" ref="K41:Q41" si="5">SUM(K5:K40)</f>
        <v>0</v>
      </c>
      <c r="L41" s="66">
        <f t="shared" si="5"/>
        <v>0</v>
      </c>
      <c r="M41" s="56">
        <f t="shared" si="5"/>
        <v>0</v>
      </c>
      <c r="N41" s="58">
        <f t="shared" si="5"/>
        <v>0</v>
      </c>
      <c r="O41" s="335">
        <f t="shared" si="5"/>
        <v>399</v>
      </c>
      <c r="P41" s="336">
        <f t="shared" si="5"/>
        <v>2076</v>
      </c>
      <c r="Q41" s="58">
        <f t="shared" si="5"/>
        <v>0</v>
      </c>
      <c r="R41" s="57">
        <f t="shared" si="0"/>
        <v>2076</v>
      </c>
      <c r="S41" s="7"/>
      <c r="T41" s="268"/>
      <c r="U41" s="269"/>
      <c r="V41" s="272"/>
      <c r="W41" s="270"/>
      <c r="Y41" s="285" t="s">
        <v>191</v>
      </c>
      <c r="Z41" s="286" t="s">
        <v>190</v>
      </c>
      <c r="AA41" s="287">
        <v>42046</v>
      </c>
      <c r="AB41" s="282">
        <v>696</v>
      </c>
      <c r="AC41" s="282">
        <v>827.2</v>
      </c>
      <c r="AD41" s="282">
        <v>107.21</v>
      </c>
      <c r="AE41" s="288">
        <v>719.99</v>
      </c>
    </row>
    <row r="42" spans="8:31">
      <c r="L42" s="167" t="s">
        <v>105</v>
      </c>
      <c r="M42" s="168">
        <v>245</v>
      </c>
      <c r="N42" s="167" t="s">
        <v>105</v>
      </c>
      <c r="O42" s="168"/>
      <c r="P42" s="175">
        <f>+P43-P41</f>
        <v>450</v>
      </c>
      <c r="Q42" s="168"/>
      <c r="R42" s="175">
        <f>+R12+R16</f>
        <v>150</v>
      </c>
      <c r="S42" s="7"/>
      <c r="T42" s="268"/>
      <c r="U42" s="269"/>
      <c r="V42" s="272"/>
      <c r="W42" s="270"/>
      <c r="Y42" s="240" t="s">
        <v>189</v>
      </c>
      <c r="Z42" s="10" t="s">
        <v>188</v>
      </c>
      <c r="AA42" s="232">
        <v>43347</v>
      </c>
      <c r="AB42" s="239">
        <v>432</v>
      </c>
      <c r="AC42" s="239">
        <v>660</v>
      </c>
      <c r="AD42" s="239">
        <v>85.8</v>
      </c>
      <c r="AE42" s="239">
        <v>574.20000000000005</v>
      </c>
    </row>
    <row r="43" spans="8:31">
      <c r="L43" s="169"/>
      <c r="M43" s="170">
        <f>+M41-M42</f>
        <v>-245</v>
      </c>
      <c r="N43" s="171" t="s">
        <v>147</v>
      </c>
      <c r="O43" s="169"/>
      <c r="P43" s="169">
        <v>2526</v>
      </c>
      <c r="Q43" s="393" t="s">
        <v>133</v>
      </c>
      <c r="R43" s="392">
        <f>+R41-R42</f>
        <v>1926</v>
      </c>
      <c r="S43" s="7"/>
      <c r="T43" s="274"/>
      <c r="U43" s="269"/>
      <c r="V43" s="270"/>
      <c r="W43" s="278"/>
      <c r="Y43" s="240" t="s">
        <v>187</v>
      </c>
      <c r="Z43" s="10" t="s">
        <v>186</v>
      </c>
      <c r="AA43" s="232">
        <v>42837</v>
      </c>
      <c r="AB43" s="239">
        <v>504</v>
      </c>
      <c r="AC43" s="239">
        <v>744</v>
      </c>
      <c r="AD43" s="239">
        <v>91.22</v>
      </c>
      <c r="AE43" s="239">
        <v>652.78</v>
      </c>
    </row>
    <row r="44" spans="8:31">
      <c r="T44" s="268"/>
      <c r="U44" s="276"/>
      <c r="V44" s="277"/>
      <c r="W44" s="279"/>
      <c r="Y44" s="240" t="s">
        <v>185</v>
      </c>
      <c r="Z44" s="10" t="s">
        <v>184</v>
      </c>
      <c r="AA44" s="232">
        <v>42125</v>
      </c>
      <c r="AB44" s="239">
        <v>432</v>
      </c>
      <c r="AC44" s="239">
        <v>660</v>
      </c>
      <c r="AD44" s="239">
        <v>80.92</v>
      </c>
      <c r="AE44" s="239">
        <v>579.08000000000004</v>
      </c>
    </row>
    <row r="45" spans="8:31">
      <c r="T45" s="270"/>
      <c r="U45" s="269"/>
      <c r="V45" s="270"/>
      <c r="W45" s="270"/>
      <c r="Y45" s="285" t="s">
        <v>183</v>
      </c>
      <c r="Z45" s="286" t="s">
        <v>74</v>
      </c>
      <c r="AA45" s="287">
        <v>42499</v>
      </c>
      <c r="AB45" s="282">
        <v>576</v>
      </c>
      <c r="AC45" s="282">
        <v>827.59</v>
      </c>
      <c r="AD45" s="282">
        <v>107.59</v>
      </c>
      <c r="AE45" s="288">
        <v>720</v>
      </c>
    </row>
    <row r="46" spans="8:31">
      <c r="P46" s="67"/>
      <c r="T46" s="270"/>
      <c r="U46" s="269"/>
      <c r="V46" s="270"/>
      <c r="W46" s="270"/>
      <c r="Y46" s="285" t="s">
        <v>182</v>
      </c>
      <c r="Z46" s="286" t="s">
        <v>51</v>
      </c>
      <c r="AA46" s="287">
        <v>42375</v>
      </c>
      <c r="AB46" s="282">
        <v>624</v>
      </c>
      <c r="AC46" s="282">
        <v>827.6</v>
      </c>
      <c r="AD46" s="282">
        <v>107.59</v>
      </c>
      <c r="AE46" s="288">
        <v>720.01</v>
      </c>
    </row>
    <row r="47" spans="8:31">
      <c r="P47" s="67"/>
      <c r="T47" s="270"/>
      <c r="U47" s="269"/>
      <c r="V47" s="270"/>
      <c r="W47" s="270"/>
      <c r="Y47" s="240" t="s">
        <v>181</v>
      </c>
      <c r="Z47" s="10" t="s">
        <v>180</v>
      </c>
      <c r="AA47" s="232">
        <v>42375</v>
      </c>
      <c r="AB47" s="239">
        <v>492</v>
      </c>
      <c r="AC47" s="239">
        <v>730</v>
      </c>
      <c r="AD47" s="239">
        <v>94.9</v>
      </c>
      <c r="AE47" s="239">
        <v>635.1</v>
      </c>
    </row>
    <row r="48" spans="8:31">
      <c r="T48" s="270"/>
      <c r="U48" s="269"/>
      <c r="V48" s="270"/>
      <c r="W48" s="270"/>
      <c r="Y48" s="240" t="s">
        <v>179</v>
      </c>
      <c r="Z48" s="10" t="s">
        <v>49</v>
      </c>
      <c r="AA48" s="232">
        <v>42897</v>
      </c>
      <c r="AB48" s="239">
        <v>12</v>
      </c>
      <c r="AC48" s="239">
        <v>21.2</v>
      </c>
      <c r="AD48" s="239">
        <v>2.64</v>
      </c>
      <c r="AE48" s="239">
        <v>18.559999999999999</v>
      </c>
    </row>
    <row r="49" spans="20:35">
      <c r="T49" s="270"/>
      <c r="U49" s="269"/>
      <c r="V49" s="270"/>
      <c r="W49" s="270"/>
      <c r="Y49" s="240" t="s">
        <v>178</v>
      </c>
      <c r="Z49" s="10" t="s">
        <v>177</v>
      </c>
      <c r="AA49" s="232" t="s">
        <v>176</v>
      </c>
      <c r="AB49" s="239">
        <v>444</v>
      </c>
      <c r="AC49" s="239">
        <v>674</v>
      </c>
      <c r="AD49" s="239">
        <v>87.62</v>
      </c>
      <c r="AE49" s="239">
        <v>586.38</v>
      </c>
    </row>
    <row r="50" spans="20:35">
      <c r="T50" s="270"/>
      <c r="U50" s="269"/>
      <c r="V50" s="270"/>
      <c r="W50" s="270"/>
      <c r="Y50" s="240" t="s">
        <v>175</v>
      </c>
      <c r="Z50" s="10" t="s">
        <v>57</v>
      </c>
      <c r="AA50" s="232">
        <v>42889</v>
      </c>
      <c r="AB50" s="239">
        <v>528</v>
      </c>
      <c r="AC50" s="239">
        <v>772</v>
      </c>
      <c r="AD50" s="239">
        <v>90.63</v>
      </c>
      <c r="AE50" s="239">
        <v>681.37</v>
      </c>
    </row>
    <row r="51" spans="20:35">
      <c r="T51" s="270"/>
      <c r="U51" s="269"/>
      <c r="V51" s="270"/>
      <c r="W51" s="270"/>
      <c r="Y51" s="130"/>
      <c r="Z51" s="237"/>
      <c r="AA51" s="236"/>
      <c r="AB51" s="235">
        <f>SUM(AB35:AB50)</f>
        <v>6358.28</v>
      </c>
      <c r="AC51" s="235">
        <f>SUM(AC35:AC50)</f>
        <v>9136.7799999999988</v>
      </c>
      <c r="AD51" s="235">
        <f>SUM(AD35:AD50)</f>
        <v>1167.2400000000002</v>
      </c>
      <c r="AE51" s="235">
        <f>SUM(AE35:AE50)</f>
        <v>7969.5400000000009</v>
      </c>
    </row>
    <row r="52" spans="20:35">
      <c r="T52" s="270"/>
      <c r="U52" s="269"/>
      <c r="V52" s="270"/>
      <c r="W52" s="270"/>
    </row>
    <row r="53" spans="20:35">
      <c r="Y53" s="291" t="s">
        <v>230</v>
      </c>
      <c r="Z53" s="292"/>
      <c r="AA53" s="292"/>
      <c r="AB53" s="292"/>
      <c r="AC53" s="293" t="s">
        <v>229</v>
      </c>
      <c r="AD53" s="294" t="s">
        <v>213</v>
      </c>
      <c r="AE53" s="295"/>
      <c r="AF53" s="248"/>
      <c r="AG53" s="249"/>
      <c r="AH53" s="249"/>
      <c r="AI53" s="254"/>
    </row>
    <row r="54" spans="20:35">
      <c r="Y54" s="296" t="s">
        <v>228</v>
      </c>
      <c r="Z54" s="297" t="s">
        <v>227</v>
      </c>
      <c r="AA54" s="298"/>
      <c r="AB54" s="298"/>
      <c r="AC54" s="299" t="s">
        <v>226</v>
      </c>
      <c r="AD54" s="260" t="s">
        <v>213</v>
      </c>
      <c r="AE54" s="300"/>
      <c r="AF54" s="260"/>
      <c r="AG54" s="261"/>
      <c r="AH54" s="261"/>
      <c r="AI54" s="254"/>
    </row>
    <row r="55" spans="20:35">
      <c r="Y55" s="296" t="s">
        <v>225</v>
      </c>
      <c r="Z55" s="301" t="s">
        <v>224</v>
      </c>
      <c r="AA55" s="299" t="s">
        <v>223</v>
      </c>
      <c r="AB55" s="302">
        <v>43256</v>
      </c>
      <c r="AC55" s="303" t="s">
        <v>222</v>
      </c>
      <c r="AD55" s="304">
        <v>2018</v>
      </c>
      <c r="AE55" s="305"/>
      <c r="AF55" s="256"/>
      <c r="AG55" s="10"/>
      <c r="AH55" s="10"/>
      <c r="AI55" s="10"/>
    </row>
    <row r="56" spans="20:35">
      <c r="Y56" s="306" t="s">
        <v>221</v>
      </c>
      <c r="Z56" s="301" t="s">
        <v>220</v>
      </c>
      <c r="AA56" s="299" t="s">
        <v>219</v>
      </c>
      <c r="AB56" s="253" t="s">
        <v>218</v>
      </c>
      <c r="AC56" s="299" t="s">
        <v>217</v>
      </c>
      <c r="AD56" s="302">
        <v>43348</v>
      </c>
      <c r="AE56" s="307"/>
      <c r="AF56" s="248"/>
      <c r="AG56" s="249"/>
      <c r="AH56" s="249"/>
      <c r="AI56" s="254"/>
    </row>
    <row r="57" spans="20:35">
      <c r="Y57" s="306" t="s">
        <v>216</v>
      </c>
      <c r="Z57" s="301" t="s">
        <v>215</v>
      </c>
      <c r="AA57" s="299" t="s">
        <v>214</v>
      </c>
      <c r="AB57" s="248" t="s">
        <v>213</v>
      </c>
      <c r="AC57" s="299" t="s">
        <v>212</v>
      </c>
      <c r="AD57" s="248" t="s">
        <v>211</v>
      </c>
      <c r="AE57" s="307"/>
      <c r="AF57" s="248"/>
      <c r="AG57" s="249"/>
      <c r="AH57" s="249"/>
      <c r="AI57" s="250"/>
    </row>
    <row r="58" spans="20:35" ht="17.25" thickBot="1">
      <c r="Y58" s="308" t="s">
        <v>210</v>
      </c>
      <c r="Z58" s="247" t="s">
        <v>209</v>
      </c>
      <c r="AA58" s="246" t="s">
        <v>208</v>
      </c>
      <c r="AB58" s="246" t="s">
        <v>207</v>
      </c>
      <c r="AC58" s="246" t="s">
        <v>206</v>
      </c>
      <c r="AD58" s="246" t="s">
        <v>205</v>
      </c>
      <c r="AE58" s="309" t="s">
        <v>204</v>
      </c>
      <c r="AF58" s="290"/>
      <c r="AG58" s="246" t="s">
        <v>237</v>
      </c>
      <c r="AH58" s="246" t="s">
        <v>236</v>
      </c>
      <c r="AI58" s="246" t="s">
        <v>235</v>
      </c>
    </row>
    <row r="59" spans="20:35">
      <c r="Y59" s="310" t="s">
        <v>202</v>
      </c>
      <c r="Z59" s="256" t="s">
        <v>201</v>
      </c>
      <c r="AA59" s="311">
        <v>43102</v>
      </c>
      <c r="AB59" s="238">
        <v>444</v>
      </c>
      <c r="AC59" s="238">
        <v>748</v>
      </c>
      <c r="AD59" s="238">
        <v>97.24</v>
      </c>
      <c r="AE59" s="312">
        <v>650.76</v>
      </c>
      <c r="AF59" s="238"/>
      <c r="AG59" s="239">
        <v>74</v>
      </c>
      <c r="AH59" s="239">
        <v>150</v>
      </c>
      <c r="AI59" s="239">
        <v>5</v>
      </c>
    </row>
    <row r="60" spans="20:35">
      <c r="Y60" s="310" t="s">
        <v>200</v>
      </c>
      <c r="Z60" s="256" t="s">
        <v>199</v>
      </c>
      <c r="AA60" s="311">
        <v>42837</v>
      </c>
      <c r="AB60" s="238">
        <v>204</v>
      </c>
      <c r="AC60" s="238">
        <v>378.8</v>
      </c>
      <c r="AD60" s="238">
        <v>49.24</v>
      </c>
      <c r="AE60" s="312">
        <v>329.56</v>
      </c>
      <c r="AF60" s="238"/>
      <c r="AG60" s="239">
        <v>34</v>
      </c>
      <c r="AH60" s="239">
        <v>102</v>
      </c>
      <c r="AI60" s="239">
        <v>4</v>
      </c>
    </row>
    <row r="61" spans="20:35">
      <c r="Y61" s="310" t="s">
        <v>198</v>
      </c>
      <c r="Z61" s="256" t="s">
        <v>143</v>
      </c>
      <c r="AA61" s="311">
        <v>42837</v>
      </c>
      <c r="AB61" s="238">
        <v>540</v>
      </c>
      <c r="AC61" s="238">
        <v>876</v>
      </c>
      <c r="AD61" s="238">
        <v>113.88</v>
      </c>
      <c r="AE61" s="312">
        <v>762.12</v>
      </c>
      <c r="AF61" s="238"/>
      <c r="AG61" s="239">
        <v>90</v>
      </c>
      <c r="AH61" s="239">
        <v>150</v>
      </c>
      <c r="AI61" s="239">
        <v>5</v>
      </c>
    </row>
    <row r="62" spans="20:35">
      <c r="Y62" s="310" t="s">
        <v>197</v>
      </c>
      <c r="Z62" s="256" t="s">
        <v>196</v>
      </c>
      <c r="AA62" s="311">
        <v>42046</v>
      </c>
      <c r="AB62" s="238">
        <v>274.27999999999997</v>
      </c>
      <c r="AC62" s="238">
        <v>369.3</v>
      </c>
      <c r="AD62" s="238">
        <v>48.01</v>
      </c>
      <c r="AE62" s="312">
        <v>321.29000000000002</v>
      </c>
      <c r="AF62" s="238"/>
      <c r="AG62" s="239">
        <v>45.71</v>
      </c>
      <c r="AH62" s="239">
        <v>0</v>
      </c>
      <c r="AI62" s="239">
        <v>3</v>
      </c>
    </row>
    <row r="63" spans="20:35">
      <c r="Y63" s="310" t="s">
        <v>195</v>
      </c>
      <c r="Z63" s="256" t="s">
        <v>194</v>
      </c>
      <c r="AA63" s="311">
        <v>42801</v>
      </c>
      <c r="AB63" s="238">
        <v>144</v>
      </c>
      <c r="AC63" s="238">
        <v>267.60000000000002</v>
      </c>
      <c r="AD63" s="238">
        <v>34.79</v>
      </c>
      <c r="AE63" s="312">
        <v>232.81</v>
      </c>
      <c r="AF63" s="238"/>
      <c r="AG63" s="239">
        <v>24</v>
      </c>
      <c r="AH63" s="239">
        <v>72</v>
      </c>
      <c r="AI63" s="239">
        <v>3</v>
      </c>
    </row>
    <row r="64" spans="20:35">
      <c r="Y64" s="310" t="s">
        <v>193</v>
      </c>
      <c r="Z64" s="256" t="s">
        <v>192</v>
      </c>
      <c r="AA64" s="311">
        <v>42499</v>
      </c>
      <c r="AB64" s="238">
        <v>12</v>
      </c>
      <c r="AC64" s="238">
        <v>23.2</v>
      </c>
      <c r="AD64" s="238">
        <v>3.02</v>
      </c>
      <c r="AE64" s="312">
        <v>20.18</v>
      </c>
      <c r="AF64" s="238"/>
      <c r="AG64" s="239">
        <v>2</v>
      </c>
      <c r="AH64" s="239">
        <v>6</v>
      </c>
      <c r="AI64" s="239">
        <v>1</v>
      </c>
    </row>
    <row r="65" spans="25:35">
      <c r="Y65" s="310" t="s">
        <v>191</v>
      </c>
      <c r="Z65" s="256" t="s">
        <v>190</v>
      </c>
      <c r="AA65" s="311">
        <v>42046</v>
      </c>
      <c r="AB65" s="238">
        <v>696</v>
      </c>
      <c r="AC65" s="238">
        <v>943.2</v>
      </c>
      <c r="AD65" s="238">
        <v>122.24</v>
      </c>
      <c r="AE65" s="312">
        <v>820.96</v>
      </c>
      <c r="AF65" s="238"/>
      <c r="AG65" s="239">
        <v>116</v>
      </c>
      <c r="AH65" s="239">
        <v>9.1999999999999993</v>
      </c>
      <c r="AI65" s="239">
        <v>5</v>
      </c>
    </row>
    <row r="66" spans="25:35">
      <c r="Y66" s="310" t="s">
        <v>189</v>
      </c>
      <c r="Z66" s="256" t="s">
        <v>188</v>
      </c>
      <c r="AA66" s="311">
        <v>43347</v>
      </c>
      <c r="AB66" s="238">
        <v>432</v>
      </c>
      <c r="AC66" s="238">
        <v>732</v>
      </c>
      <c r="AD66" s="238">
        <v>95.16</v>
      </c>
      <c r="AE66" s="312">
        <v>636.84</v>
      </c>
      <c r="AF66" s="238"/>
      <c r="AG66" s="239">
        <v>72</v>
      </c>
      <c r="AH66" s="239">
        <v>150</v>
      </c>
      <c r="AI66" s="239">
        <v>5</v>
      </c>
    </row>
    <row r="67" spans="25:35">
      <c r="Y67" s="310" t="s">
        <v>187</v>
      </c>
      <c r="Z67" s="256" t="s">
        <v>186</v>
      </c>
      <c r="AA67" s="311">
        <v>42837</v>
      </c>
      <c r="AB67" s="238">
        <v>504</v>
      </c>
      <c r="AC67" s="238">
        <v>828</v>
      </c>
      <c r="AD67" s="238">
        <v>101.51</v>
      </c>
      <c r="AE67" s="312">
        <v>726.49</v>
      </c>
      <c r="AF67" s="238"/>
      <c r="AG67" s="239">
        <v>84</v>
      </c>
      <c r="AH67" s="239">
        <v>150</v>
      </c>
      <c r="AI67" s="239">
        <v>5</v>
      </c>
    </row>
    <row r="68" spans="25:35">
      <c r="Y68" s="310" t="s">
        <v>185</v>
      </c>
      <c r="Z68" s="256" t="s">
        <v>184</v>
      </c>
      <c r="AA68" s="311">
        <v>42125</v>
      </c>
      <c r="AB68" s="238">
        <v>432</v>
      </c>
      <c r="AC68" s="238">
        <v>732</v>
      </c>
      <c r="AD68" s="238">
        <v>89.75</v>
      </c>
      <c r="AE68" s="312">
        <v>642.25</v>
      </c>
      <c r="AF68" s="238"/>
      <c r="AG68" s="239">
        <v>72</v>
      </c>
      <c r="AH68" s="239">
        <v>150</v>
      </c>
      <c r="AI68" s="239">
        <v>5</v>
      </c>
    </row>
    <row r="69" spans="25:35">
      <c r="Y69" s="310" t="s">
        <v>183</v>
      </c>
      <c r="Z69" s="256" t="s">
        <v>74</v>
      </c>
      <c r="AA69" s="311">
        <v>42499</v>
      </c>
      <c r="AB69" s="238">
        <v>576</v>
      </c>
      <c r="AC69" s="238">
        <v>923.59</v>
      </c>
      <c r="AD69" s="238">
        <v>120.07</v>
      </c>
      <c r="AE69" s="312">
        <v>803.52</v>
      </c>
      <c r="AF69" s="238"/>
      <c r="AG69" s="239">
        <v>96</v>
      </c>
      <c r="AH69" s="239">
        <v>149.59</v>
      </c>
      <c r="AI69" s="239">
        <v>5</v>
      </c>
    </row>
    <row r="70" spans="25:35">
      <c r="Y70" s="310" t="s">
        <v>182</v>
      </c>
      <c r="Z70" s="256" t="s">
        <v>51</v>
      </c>
      <c r="AA70" s="311">
        <v>42375</v>
      </c>
      <c r="AB70" s="238">
        <v>624</v>
      </c>
      <c r="AC70" s="238">
        <v>931.6</v>
      </c>
      <c r="AD70" s="238">
        <v>121.11</v>
      </c>
      <c r="AE70" s="312">
        <v>810.49</v>
      </c>
      <c r="AF70" s="238"/>
      <c r="AG70" s="239">
        <v>104</v>
      </c>
      <c r="AH70" s="239">
        <v>93.6</v>
      </c>
      <c r="AI70" s="239">
        <v>5</v>
      </c>
    </row>
    <row r="71" spans="25:35">
      <c r="Y71" s="310" t="s">
        <v>181</v>
      </c>
      <c r="Z71" s="256" t="s">
        <v>180</v>
      </c>
      <c r="AA71" s="311">
        <v>42375</v>
      </c>
      <c r="AB71" s="238">
        <v>492</v>
      </c>
      <c r="AC71" s="238">
        <v>812</v>
      </c>
      <c r="AD71" s="238">
        <v>105.56</v>
      </c>
      <c r="AE71" s="312">
        <v>706.44</v>
      </c>
      <c r="AF71" s="238"/>
      <c r="AG71" s="239">
        <v>82</v>
      </c>
      <c r="AH71" s="239">
        <v>150</v>
      </c>
      <c r="AI71" s="239">
        <v>5</v>
      </c>
    </row>
    <row r="72" spans="25:35">
      <c r="Y72" s="310" t="s">
        <v>179</v>
      </c>
      <c r="Z72" s="256" t="s">
        <v>49</v>
      </c>
      <c r="AA72" s="311">
        <v>42897</v>
      </c>
      <c r="AB72" s="238">
        <v>12</v>
      </c>
      <c r="AC72" s="238">
        <v>23.2</v>
      </c>
      <c r="AD72" s="238">
        <v>2.89</v>
      </c>
      <c r="AE72" s="312">
        <v>20.309999999999999</v>
      </c>
      <c r="AF72" s="238"/>
      <c r="AG72" s="239">
        <v>2</v>
      </c>
      <c r="AH72" s="239">
        <v>6</v>
      </c>
      <c r="AI72" s="239">
        <v>1</v>
      </c>
    </row>
    <row r="73" spans="25:35">
      <c r="Y73" s="310" t="s">
        <v>178</v>
      </c>
      <c r="Z73" s="256" t="s">
        <v>177</v>
      </c>
      <c r="AA73" s="311" t="s">
        <v>176</v>
      </c>
      <c r="AB73" s="238">
        <v>444</v>
      </c>
      <c r="AC73" s="238">
        <v>748</v>
      </c>
      <c r="AD73" s="238">
        <v>97.24</v>
      </c>
      <c r="AE73" s="312">
        <v>650.76</v>
      </c>
      <c r="AF73" s="238"/>
      <c r="AG73" s="239">
        <v>74</v>
      </c>
      <c r="AH73" s="239">
        <v>150</v>
      </c>
      <c r="AI73" s="239">
        <v>5</v>
      </c>
    </row>
    <row r="74" spans="25:35">
      <c r="Y74" s="310" t="s">
        <v>175</v>
      </c>
      <c r="Z74" s="256" t="s">
        <v>57</v>
      </c>
      <c r="AA74" s="311">
        <v>42889</v>
      </c>
      <c r="AB74" s="238">
        <v>528</v>
      </c>
      <c r="AC74" s="238">
        <v>860</v>
      </c>
      <c r="AD74" s="238">
        <v>100.97</v>
      </c>
      <c r="AE74" s="312">
        <v>759.03</v>
      </c>
      <c r="AF74" s="238"/>
      <c r="AG74" s="239">
        <v>88</v>
      </c>
      <c r="AH74" s="239">
        <v>150</v>
      </c>
      <c r="AI74" s="239">
        <v>5</v>
      </c>
    </row>
    <row r="75" spans="25:35">
      <c r="Y75" s="313"/>
      <c r="Z75" s="314"/>
      <c r="AA75" s="315"/>
      <c r="AB75" s="316">
        <f>SUM(AB59:AB74)</f>
        <v>6358.28</v>
      </c>
      <c r="AC75" s="316">
        <f>SUM(AC59:AC74)</f>
        <v>10196.490000000002</v>
      </c>
      <c r="AD75" s="316">
        <f>SUM(AD59:AD74)</f>
        <v>1302.6800000000003</v>
      </c>
      <c r="AE75" s="317">
        <f>SUM(AE59:AE74)</f>
        <v>8893.8100000000013</v>
      </c>
      <c r="AF75" s="234"/>
      <c r="AG75" s="235">
        <f>SUM(AG59:AG74)</f>
        <v>1059.71</v>
      </c>
      <c r="AH75" s="235">
        <f>SUM(AH59:AH74)</f>
        <v>1638.3899999999999</v>
      </c>
      <c r="AI75" s="235">
        <f>SUM(AI59:AI74)</f>
        <v>67</v>
      </c>
    </row>
  </sheetData>
  <mergeCells count="4">
    <mergeCell ref="I2:R2"/>
    <mergeCell ref="K3:N3"/>
    <mergeCell ref="O3:P3"/>
    <mergeCell ref="S3:U3"/>
  </mergeCells>
  <conditionalFormatting sqref="R41 R5:R6">
    <cfRule type="cellIs" dxfId="16" priority="2" operator="lessThanOrEqual">
      <formula>0</formula>
    </cfRule>
  </conditionalFormatting>
  <conditionalFormatting sqref="R5:R40">
    <cfRule type="cellIs" dxfId="15" priority="1" operator="greaterThan">
      <formula>0</formula>
    </cfRule>
  </conditionalFormatting>
  <printOptions horizontalCentered="1"/>
  <pageMargins left="0" right="0" top="0.42" bottom="0" header="0.31496062992125984" footer="0.31496062992125984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5"/>
  <sheetViews>
    <sheetView zoomScale="85" zoomScaleNormal="85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W4" sqref="W4"/>
    </sheetView>
  </sheetViews>
  <sheetFormatPr baseColWidth="10" defaultRowHeight="15"/>
  <cols>
    <col min="1" max="1" width="5.7109375" customWidth="1"/>
    <col min="2" max="2" width="0" hidden="1" customWidth="1"/>
    <col min="3" max="3" width="20.7109375" hidden="1" customWidth="1"/>
    <col min="4" max="4" width="20.7109375" style="1" hidden="1" customWidth="1"/>
    <col min="5" max="5" width="13.28515625" hidden="1" customWidth="1"/>
    <col min="6" max="6" width="10.42578125" style="2" hidden="1" customWidth="1"/>
    <col min="7" max="7" width="25.28515625" hidden="1" customWidth="1"/>
    <col min="8" max="8" width="12.5703125" bestFit="1" customWidth="1"/>
    <col min="9" max="9" width="8.7109375" customWidth="1"/>
    <col min="10" max="10" width="24.140625" customWidth="1"/>
    <col min="11" max="11" width="8.7109375" customWidth="1"/>
    <col min="12" max="12" width="10.7109375" bestFit="1" customWidth="1"/>
    <col min="13" max="13" width="8.7109375" customWidth="1"/>
    <col min="14" max="14" width="10.7109375" customWidth="1"/>
    <col min="15" max="15" width="8.7109375" customWidth="1"/>
    <col min="16" max="16" width="11.42578125" customWidth="1"/>
    <col min="17" max="17" width="11.7109375" customWidth="1"/>
    <col min="18" max="18" width="12.5703125" bestFit="1" customWidth="1"/>
    <col min="19" max="19" width="2.7109375" customWidth="1"/>
    <col min="20" max="20" width="13.28515625" customWidth="1"/>
    <col min="21" max="21" width="11.5703125" style="181" customWidth="1"/>
    <col min="22" max="22" width="10.7109375" customWidth="1"/>
    <col min="23" max="23" width="20.7109375" customWidth="1"/>
    <col min="24" max="24" width="2" customWidth="1"/>
    <col min="25" max="25" width="11.85546875" customWidth="1"/>
    <col min="26" max="26" width="20" customWidth="1"/>
    <col min="27" max="27" width="11.7109375" customWidth="1"/>
    <col min="28" max="28" width="11" customWidth="1"/>
    <col min="29" max="29" width="10.7109375" customWidth="1"/>
    <col min="30" max="30" width="10.42578125" customWidth="1"/>
    <col min="31" max="31" width="12.28515625" customWidth="1"/>
    <col min="32" max="32" width="9.42578125" customWidth="1"/>
    <col min="33" max="33" width="9.85546875" customWidth="1"/>
    <col min="34" max="34" width="9.5703125" customWidth="1"/>
  </cols>
  <sheetData>
    <row r="1" spans="8:32" ht="5.0999999999999996" customHeight="1"/>
    <row r="2" spans="8:32">
      <c r="H2" s="357"/>
      <c r="I2" s="409" t="s">
        <v>253</v>
      </c>
      <c r="J2" s="409"/>
      <c r="K2" s="409"/>
      <c r="L2" s="409"/>
      <c r="M2" s="409"/>
      <c r="N2" s="409"/>
      <c r="O2" s="409"/>
      <c r="P2" s="409"/>
      <c r="Q2" s="409"/>
      <c r="R2" s="409"/>
      <c r="S2" s="357"/>
      <c r="T2" s="359"/>
      <c r="U2" s="357"/>
    </row>
    <row r="3" spans="8:32">
      <c r="H3" s="357"/>
      <c r="I3" s="358"/>
      <c r="J3" s="358"/>
      <c r="K3" s="410" t="s">
        <v>58</v>
      </c>
      <c r="L3" s="411"/>
      <c r="M3" s="411"/>
      <c r="N3" s="412"/>
      <c r="O3" s="411" t="s">
        <v>59</v>
      </c>
      <c r="P3" s="412"/>
      <c r="Q3" s="358"/>
      <c r="R3" s="358"/>
      <c r="S3" s="415">
        <f ca="1">+TODAY()</f>
        <v>43292</v>
      </c>
      <c r="T3" s="416"/>
      <c r="U3" s="416"/>
    </row>
    <row r="4" spans="8:32" ht="34.5">
      <c r="H4" s="357"/>
      <c r="I4" s="360" t="s">
        <v>11</v>
      </c>
      <c r="J4" s="360" t="s">
        <v>3</v>
      </c>
      <c r="K4" s="361" t="s">
        <v>23</v>
      </c>
      <c r="L4" s="361" t="s">
        <v>77</v>
      </c>
      <c r="M4" s="361" t="s">
        <v>23</v>
      </c>
      <c r="N4" s="361" t="s">
        <v>77</v>
      </c>
      <c r="O4" s="363" t="s">
        <v>23</v>
      </c>
      <c r="P4" s="363" t="s">
        <v>254</v>
      </c>
      <c r="Q4" s="364" t="s">
        <v>255</v>
      </c>
      <c r="R4" s="365" t="s">
        <v>60</v>
      </c>
      <c r="S4" s="366"/>
      <c r="T4" s="357"/>
      <c r="U4" s="357"/>
    </row>
    <row r="5" spans="8:32">
      <c r="H5" s="357"/>
      <c r="I5" s="16" t="s">
        <v>61</v>
      </c>
      <c r="J5" s="349" t="s">
        <v>62</v>
      </c>
      <c r="K5" s="18"/>
      <c r="L5" s="184">
        <f>+K5*3</f>
        <v>0</v>
      </c>
      <c r="M5" s="117"/>
      <c r="N5" s="23">
        <v>0</v>
      </c>
      <c r="O5" s="330"/>
      <c r="P5" s="331"/>
      <c r="Q5" s="210"/>
      <c r="R5" s="211">
        <f>+L5+N5+P5+Q5</f>
        <v>0</v>
      </c>
      <c r="S5" s="7"/>
      <c r="T5" s="137">
        <v>968</v>
      </c>
      <c r="U5" s="182">
        <v>125.45</v>
      </c>
      <c r="V5" s="139">
        <v>842.55</v>
      </c>
      <c r="W5" s="280" t="s">
        <v>231</v>
      </c>
      <c r="Y5" s="289" t="s">
        <v>234</v>
      </c>
      <c r="Z5" s="169"/>
      <c r="AA5" s="169"/>
      <c r="AB5" s="169"/>
      <c r="AC5" s="169" t="s">
        <v>229</v>
      </c>
      <c r="AD5" s="169" t="s">
        <v>213</v>
      </c>
      <c r="AE5" s="169"/>
      <c r="AF5" s="169"/>
    </row>
    <row r="6" spans="8:32">
      <c r="H6" s="357"/>
      <c r="I6" s="370" t="s">
        <v>4</v>
      </c>
      <c r="J6" s="350" t="s">
        <v>12</v>
      </c>
      <c r="K6" s="18"/>
      <c r="L6" s="185">
        <f>+K6*3</f>
        <v>0</v>
      </c>
      <c r="M6" s="22"/>
      <c r="N6" s="23">
        <v>0</v>
      </c>
      <c r="O6" s="330"/>
      <c r="P6" s="331"/>
      <c r="Q6" s="196"/>
      <c r="R6" s="209">
        <f t="shared" ref="R6:R41" si="0">+L6+N6+P6+Q6</f>
        <v>0</v>
      </c>
      <c r="S6" s="7"/>
      <c r="T6" s="140">
        <f>+U6+V6</f>
        <v>827.2031333452021</v>
      </c>
      <c r="U6" s="284">
        <f>+U5*V6/V5</f>
        <v>107.20313334520208</v>
      </c>
      <c r="V6" s="141">
        <v>720</v>
      </c>
      <c r="W6" s="161"/>
      <c r="Y6" s="169" t="s">
        <v>228</v>
      </c>
      <c r="Z6" s="169" t="s">
        <v>227</v>
      </c>
      <c r="AA6" s="169"/>
      <c r="AB6" s="169"/>
      <c r="AC6" s="169" t="s">
        <v>226</v>
      </c>
      <c r="AD6" s="169" t="s">
        <v>213</v>
      </c>
      <c r="AE6" s="169"/>
      <c r="AF6" s="169"/>
    </row>
    <row r="7" spans="8:32">
      <c r="H7" s="357"/>
      <c r="I7" s="113" t="s">
        <v>1</v>
      </c>
      <c r="J7" s="351" t="s">
        <v>56</v>
      </c>
      <c r="K7" s="120"/>
      <c r="L7" s="215">
        <f>+K7*3</f>
        <v>0</v>
      </c>
      <c r="M7" s="117"/>
      <c r="N7" s="31">
        <v>0</v>
      </c>
      <c r="O7" s="332"/>
      <c r="P7" s="333">
        <f>IF(O7&gt;25,150,(O7)*6)</f>
        <v>0</v>
      </c>
      <c r="Q7" s="196"/>
      <c r="R7" s="23">
        <f t="shared" si="0"/>
        <v>0</v>
      </c>
      <c r="S7" s="7"/>
      <c r="T7" s="142">
        <f>+T5-T6</f>
        <v>140.7968666547979</v>
      </c>
      <c r="U7" s="183"/>
      <c r="V7" s="143"/>
      <c r="W7" s="4" t="s">
        <v>145</v>
      </c>
      <c r="Y7" s="169" t="s">
        <v>225</v>
      </c>
      <c r="Z7" s="169" t="s">
        <v>224</v>
      </c>
      <c r="AA7" s="169" t="s">
        <v>223</v>
      </c>
      <c r="AB7" s="169">
        <v>43256</v>
      </c>
      <c r="AC7" s="169" t="s">
        <v>222</v>
      </c>
      <c r="AD7" s="169">
        <v>2018</v>
      </c>
      <c r="AE7" s="169"/>
      <c r="AF7" s="169"/>
    </row>
    <row r="8" spans="8:32">
      <c r="H8" s="357"/>
      <c r="I8" s="113" t="s">
        <v>2</v>
      </c>
      <c r="J8" s="351" t="s">
        <v>47</v>
      </c>
      <c r="K8" s="115"/>
      <c r="L8" s="215"/>
      <c r="M8" s="117"/>
      <c r="N8" s="31">
        <f>+M8*3</f>
        <v>0</v>
      </c>
      <c r="O8" s="332">
        <v>38</v>
      </c>
      <c r="P8" s="333">
        <f>IF(O8&gt;25,150,(O8)*6)</f>
        <v>150</v>
      </c>
      <c r="Q8" s="195"/>
      <c r="R8" s="228">
        <f t="shared" si="0"/>
        <v>150</v>
      </c>
      <c r="S8" s="7"/>
      <c r="T8" s="144">
        <v>150</v>
      </c>
      <c r="U8" s="163">
        <f>+T8-T7</f>
        <v>9.2031333452021045</v>
      </c>
      <c r="V8" s="164" t="s">
        <v>232</v>
      </c>
      <c r="W8" s="9">
        <f>150-U8</f>
        <v>140.7968666547979</v>
      </c>
      <c r="Y8" s="169" t="s">
        <v>221</v>
      </c>
      <c r="Z8" s="169" t="s">
        <v>220</v>
      </c>
      <c r="AA8" s="169" t="s">
        <v>219</v>
      </c>
      <c r="AB8" s="169" t="s">
        <v>218</v>
      </c>
      <c r="AC8" s="169" t="s">
        <v>217</v>
      </c>
      <c r="AD8" s="169">
        <v>43348</v>
      </c>
      <c r="AE8" s="169"/>
      <c r="AF8" s="169"/>
    </row>
    <row r="9" spans="8:32">
      <c r="H9" s="357"/>
      <c r="I9" s="370" t="s">
        <v>0</v>
      </c>
      <c r="J9" s="350" t="s">
        <v>7</v>
      </c>
      <c r="K9" s="18"/>
      <c r="L9" s="213">
        <f>+K9*5</f>
        <v>0</v>
      </c>
      <c r="M9" s="22"/>
      <c r="N9" s="23">
        <f>5*M9</f>
        <v>0</v>
      </c>
      <c r="O9" s="330"/>
      <c r="P9" s="331">
        <v>0</v>
      </c>
      <c r="Q9" s="196">
        <v>320</v>
      </c>
      <c r="R9" s="229">
        <f t="shared" si="0"/>
        <v>320</v>
      </c>
      <c r="S9" s="7"/>
      <c r="T9" s="26"/>
      <c r="W9" s="162"/>
      <c r="Y9" s="267" t="s">
        <v>216</v>
      </c>
      <c r="Z9" s="267" t="s">
        <v>215</v>
      </c>
      <c r="AA9" s="267" t="s">
        <v>214</v>
      </c>
      <c r="AB9" s="267" t="s">
        <v>213</v>
      </c>
      <c r="AC9" s="267" t="s">
        <v>212</v>
      </c>
      <c r="AD9" s="267" t="s">
        <v>211</v>
      </c>
      <c r="AE9" s="267"/>
      <c r="AF9" s="267"/>
    </row>
    <row r="10" spans="8:32" ht="17.25" thickBot="1">
      <c r="H10" s="357"/>
      <c r="I10" s="370" t="s">
        <v>5</v>
      </c>
      <c r="J10" s="352" t="s">
        <v>71</v>
      </c>
      <c r="K10" s="18"/>
      <c r="L10" s="213">
        <f>+K10*3</f>
        <v>0</v>
      </c>
      <c r="M10" s="371"/>
      <c r="N10" s="31">
        <f>+M10*3</f>
        <v>0</v>
      </c>
      <c r="O10" s="334">
        <v>27</v>
      </c>
      <c r="P10" s="333">
        <f t="shared" ref="P10:P28" si="1">IF(O10&gt;25,150,(O10)*6)</f>
        <v>150</v>
      </c>
      <c r="Q10" s="196"/>
      <c r="R10" s="228">
        <f t="shared" si="0"/>
        <v>150</v>
      </c>
      <c r="S10" s="7"/>
      <c r="T10" s="137">
        <v>828</v>
      </c>
      <c r="U10" s="182">
        <v>107.64</v>
      </c>
      <c r="V10" s="139">
        <v>720.36</v>
      </c>
      <c r="W10" s="280" t="s">
        <v>74</v>
      </c>
      <c r="Y10" s="265" t="s">
        <v>210</v>
      </c>
      <c r="Z10" s="265" t="s">
        <v>209</v>
      </c>
      <c r="AA10" s="266" t="s">
        <v>208</v>
      </c>
      <c r="AB10" s="266" t="s">
        <v>207</v>
      </c>
      <c r="AC10" s="266" t="s">
        <v>206</v>
      </c>
      <c r="AD10" s="266" t="s">
        <v>205</v>
      </c>
      <c r="AE10" s="266" t="s">
        <v>204</v>
      </c>
      <c r="AF10" s="266" t="s">
        <v>203</v>
      </c>
    </row>
    <row r="11" spans="8:32">
      <c r="H11" s="357"/>
      <c r="I11" s="370" t="s">
        <v>27</v>
      </c>
      <c r="J11" s="352" t="s">
        <v>28</v>
      </c>
      <c r="K11" s="18"/>
      <c r="L11" s="213">
        <v>0</v>
      </c>
      <c r="M11" s="371"/>
      <c r="N11" s="31">
        <v>0</v>
      </c>
      <c r="O11" s="334"/>
      <c r="P11" s="333">
        <f t="shared" si="1"/>
        <v>0</v>
      </c>
      <c r="Q11" s="195"/>
      <c r="R11" s="31">
        <f t="shared" si="0"/>
        <v>0</v>
      </c>
      <c r="S11" s="7"/>
      <c r="T11" s="140">
        <f>+U11+V11</f>
        <v>827.58620689655174</v>
      </c>
      <c r="U11" s="284">
        <f>+U10*V11/V10</f>
        <v>107.58620689655173</v>
      </c>
      <c r="V11" s="141">
        <v>720</v>
      </c>
      <c r="W11" s="162"/>
      <c r="Y11" s="240" t="s">
        <v>202</v>
      </c>
      <c r="Z11" s="10" t="s">
        <v>201</v>
      </c>
      <c r="AA11" s="232">
        <v>43102</v>
      </c>
      <c r="AB11" s="239">
        <v>444</v>
      </c>
      <c r="AC11" s="281">
        <v>674</v>
      </c>
      <c r="AD11" s="239">
        <v>87.62</v>
      </c>
      <c r="AE11" s="239">
        <v>586.38</v>
      </c>
      <c r="AF11" s="238">
        <f t="shared" ref="AF11:AF26" si="2">720-AE11</f>
        <v>133.62</v>
      </c>
    </row>
    <row r="12" spans="8:32">
      <c r="H12" s="356" t="s">
        <v>153</v>
      </c>
      <c r="I12" s="377" t="s">
        <v>8</v>
      </c>
      <c r="J12" s="378" t="s">
        <v>29</v>
      </c>
      <c r="K12" s="381"/>
      <c r="L12" s="379"/>
      <c r="M12" s="325"/>
      <c r="N12" s="326">
        <v>0</v>
      </c>
      <c r="O12" s="325">
        <v>33</v>
      </c>
      <c r="P12" s="326">
        <f t="shared" si="1"/>
        <v>150</v>
      </c>
      <c r="Q12" s="380"/>
      <c r="R12" s="391">
        <f t="shared" si="0"/>
        <v>150</v>
      </c>
      <c r="S12" s="7"/>
      <c r="T12" s="142">
        <f>+T10-T11</f>
        <v>0.41379310344825626</v>
      </c>
      <c r="U12" s="183"/>
      <c r="V12" s="143"/>
      <c r="W12" s="4" t="s">
        <v>145</v>
      </c>
      <c r="Y12" s="240" t="s">
        <v>200</v>
      </c>
      <c r="Z12" s="10" t="s">
        <v>199</v>
      </c>
      <c r="AA12" s="232">
        <v>42837</v>
      </c>
      <c r="AB12" s="239">
        <v>204</v>
      </c>
      <c r="AC12" s="281">
        <v>344.8</v>
      </c>
      <c r="AD12" s="239">
        <v>44.82</v>
      </c>
      <c r="AE12" s="239">
        <v>299.98</v>
      </c>
      <c r="AF12" s="238">
        <f t="shared" si="2"/>
        <v>420.02</v>
      </c>
    </row>
    <row r="13" spans="8:32">
      <c r="H13" s="357"/>
      <c r="I13" s="370" t="s">
        <v>63</v>
      </c>
      <c r="J13" s="352" t="s">
        <v>33</v>
      </c>
      <c r="K13" s="18"/>
      <c r="L13" s="213"/>
      <c r="M13" s="373"/>
      <c r="N13" s="31">
        <f>+M13*3</f>
        <v>0</v>
      </c>
      <c r="O13" s="334">
        <v>2</v>
      </c>
      <c r="P13" s="333">
        <f t="shared" si="1"/>
        <v>12</v>
      </c>
      <c r="Q13" s="195"/>
      <c r="R13" s="228">
        <f t="shared" si="0"/>
        <v>12</v>
      </c>
      <c r="S13" s="7"/>
      <c r="T13" s="144">
        <v>150</v>
      </c>
      <c r="U13" s="163">
        <f>+T13-T12</f>
        <v>149.58620689655174</v>
      </c>
      <c r="V13" s="164" t="s">
        <v>232</v>
      </c>
      <c r="W13" s="9">
        <f>150-U13</f>
        <v>0.41379310344825626</v>
      </c>
      <c r="Y13" s="240" t="s">
        <v>198</v>
      </c>
      <c r="Z13" s="10" t="s">
        <v>143</v>
      </c>
      <c r="AA13" s="232">
        <v>42837</v>
      </c>
      <c r="AB13" s="239">
        <v>540</v>
      </c>
      <c r="AC13" s="281">
        <v>786</v>
      </c>
      <c r="AD13" s="239">
        <v>102.18</v>
      </c>
      <c r="AE13" s="239">
        <v>683.82</v>
      </c>
      <c r="AF13" s="238">
        <f t="shared" si="2"/>
        <v>36.17999999999995</v>
      </c>
    </row>
    <row r="14" spans="8:32">
      <c r="H14" s="357"/>
      <c r="I14" s="370" t="s">
        <v>24</v>
      </c>
      <c r="J14" s="352" t="s">
        <v>30</v>
      </c>
      <c r="K14" s="18"/>
      <c r="L14" s="213">
        <v>0</v>
      </c>
      <c r="M14" s="373"/>
      <c r="N14" s="31">
        <v>0</v>
      </c>
      <c r="O14" s="334">
        <v>20</v>
      </c>
      <c r="P14" s="333">
        <f t="shared" si="1"/>
        <v>120</v>
      </c>
      <c r="Q14" s="195"/>
      <c r="R14" s="228">
        <f t="shared" si="0"/>
        <v>120</v>
      </c>
      <c r="S14" s="7"/>
      <c r="T14" s="26"/>
      <c r="W14" s="162"/>
      <c r="Y14" s="240" t="s">
        <v>197</v>
      </c>
      <c r="Z14" s="10" t="s">
        <v>196</v>
      </c>
      <c r="AA14" s="232">
        <v>42046</v>
      </c>
      <c r="AB14" s="239">
        <v>274.27999999999997</v>
      </c>
      <c r="AC14" s="281">
        <v>323.58999999999997</v>
      </c>
      <c r="AD14" s="239">
        <v>42.07</v>
      </c>
      <c r="AE14" s="239">
        <v>281.52</v>
      </c>
      <c r="AF14" s="238">
        <f t="shared" si="2"/>
        <v>438.48</v>
      </c>
    </row>
    <row r="15" spans="8:32">
      <c r="H15" s="357"/>
      <c r="I15" s="370" t="s">
        <v>18</v>
      </c>
      <c r="J15" s="350" t="s">
        <v>72</v>
      </c>
      <c r="K15" s="18"/>
      <c r="L15" s="213">
        <f>+K15*3</f>
        <v>0</v>
      </c>
      <c r="M15" s="373"/>
      <c r="N15" s="31">
        <f>+M15*3</f>
        <v>0</v>
      </c>
      <c r="O15" s="334"/>
      <c r="P15" s="333">
        <f t="shared" si="1"/>
        <v>0</v>
      </c>
      <c r="Q15" s="195"/>
      <c r="R15" s="31">
        <f t="shared" si="0"/>
        <v>0</v>
      </c>
      <c r="S15" s="7"/>
      <c r="T15" s="137">
        <v>884</v>
      </c>
      <c r="U15" s="182">
        <v>114.92</v>
      </c>
      <c r="V15" s="139">
        <v>769.08</v>
      </c>
      <c r="W15" s="280" t="s">
        <v>51</v>
      </c>
      <c r="Y15" s="240" t="s">
        <v>195</v>
      </c>
      <c r="Z15" s="10" t="s">
        <v>194</v>
      </c>
      <c r="AA15" s="232">
        <v>42801</v>
      </c>
      <c r="AB15" s="239">
        <v>144</v>
      </c>
      <c r="AC15" s="281">
        <v>243.6</v>
      </c>
      <c r="AD15" s="239">
        <v>31.67</v>
      </c>
      <c r="AE15" s="239">
        <v>211.93</v>
      </c>
      <c r="AF15" s="238">
        <f t="shared" si="2"/>
        <v>508.07</v>
      </c>
    </row>
    <row r="16" spans="8:32">
      <c r="H16" s="356" t="s">
        <v>153</v>
      </c>
      <c r="I16" s="377" t="s">
        <v>31</v>
      </c>
      <c r="J16" s="378" t="s">
        <v>32</v>
      </c>
      <c r="K16" s="381"/>
      <c r="L16" s="379"/>
      <c r="M16" s="325"/>
      <c r="N16" s="326">
        <f t="shared" ref="N16:N26" si="3">+M16*3</f>
        <v>0</v>
      </c>
      <c r="O16" s="325"/>
      <c r="P16" s="326">
        <f t="shared" si="1"/>
        <v>0</v>
      </c>
      <c r="Q16" s="380"/>
      <c r="R16" s="326">
        <f t="shared" si="0"/>
        <v>0</v>
      </c>
      <c r="S16" s="7"/>
      <c r="T16" s="140">
        <f>+U16+V16</f>
        <v>827.58620689655174</v>
      </c>
      <c r="U16" s="284">
        <f>+U15*V16/V15</f>
        <v>107.58620689655172</v>
      </c>
      <c r="V16" s="141">
        <v>720</v>
      </c>
      <c r="W16" s="162"/>
      <c r="Y16" s="240" t="s">
        <v>193</v>
      </c>
      <c r="Z16" s="10" t="s">
        <v>192</v>
      </c>
      <c r="AA16" s="232">
        <v>42499</v>
      </c>
      <c r="AB16" s="239">
        <v>12</v>
      </c>
      <c r="AC16" s="281">
        <v>21.2</v>
      </c>
      <c r="AD16" s="239">
        <v>2.76</v>
      </c>
      <c r="AE16" s="239">
        <v>18.440000000000001</v>
      </c>
      <c r="AF16" s="238">
        <f t="shared" si="2"/>
        <v>701.56</v>
      </c>
    </row>
    <row r="17" spans="1:32">
      <c r="H17" s="357"/>
      <c r="I17" s="370" t="s">
        <v>54</v>
      </c>
      <c r="J17" s="352" t="s">
        <v>55</v>
      </c>
      <c r="K17" s="18"/>
      <c r="L17" s="213">
        <f>+K17*3</f>
        <v>0</v>
      </c>
      <c r="M17" s="371"/>
      <c r="N17" s="31">
        <f t="shared" si="3"/>
        <v>0</v>
      </c>
      <c r="O17" s="334"/>
      <c r="P17" s="333">
        <f t="shared" si="1"/>
        <v>0</v>
      </c>
      <c r="Q17" s="195"/>
      <c r="R17" s="31">
        <f t="shared" si="0"/>
        <v>0</v>
      </c>
      <c r="S17" s="7"/>
      <c r="T17" s="142">
        <f>+T15-T16</f>
        <v>56.413793103448256</v>
      </c>
      <c r="U17" s="183"/>
      <c r="V17" s="143"/>
      <c r="W17" s="4" t="s">
        <v>145</v>
      </c>
      <c r="Y17" s="245" t="s">
        <v>191</v>
      </c>
      <c r="Z17" s="244" t="s">
        <v>190</v>
      </c>
      <c r="AA17" s="243">
        <v>42046</v>
      </c>
      <c r="AB17" s="242">
        <v>696</v>
      </c>
      <c r="AC17" s="282">
        <v>968</v>
      </c>
      <c r="AD17" s="242">
        <v>125.45</v>
      </c>
      <c r="AE17" s="241">
        <v>842.55</v>
      </c>
      <c r="AF17" s="319">
        <f t="shared" si="2"/>
        <v>-122.54999999999995</v>
      </c>
    </row>
    <row r="18" spans="1:32">
      <c r="H18" s="357"/>
      <c r="I18" s="113" t="s">
        <v>10</v>
      </c>
      <c r="J18" s="351" t="s">
        <v>34</v>
      </c>
      <c r="K18" s="115"/>
      <c r="L18" s="215"/>
      <c r="M18" s="117"/>
      <c r="N18" s="31">
        <f t="shared" si="3"/>
        <v>0</v>
      </c>
      <c r="O18" s="332"/>
      <c r="P18" s="333">
        <f t="shared" si="1"/>
        <v>0</v>
      </c>
      <c r="Q18" s="195"/>
      <c r="R18" s="31">
        <f t="shared" si="0"/>
        <v>0</v>
      </c>
      <c r="S18" s="7"/>
      <c r="T18" s="144">
        <v>150</v>
      </c>
      <c r="U18" s="163">
        <f>+T18-T17+0.01</f>
        <v>93.596206896551749</v>
      </c>
      <c r="V18" s="164" t="s">
        <v>232</v>
      </c>
      <c r="W18" s="9">
        <f>150-U18</f>
        <v>56.403793103448251</v>
      </c>
      <c r="Y18" s="240" t="s">
        <v>189</v>
      </c>
      <c r="Z18" s="10" t="s">
        <v>188</v>
      </c>
      <c r="AA18" s="232">
        <v>43347</v>
      </c>
      <c r="AB18" s="239">
        <v>432</v>
      </c>
      <c r="AC18" s="281">
        <v>660</v>
      </c>
      <c r="AD18" s="239">
        <v>85.8</v>
      </c>
      <c r="AE18" s="239">
        <v>574.20000000000005</v>
      </c>
      <c r="AF18" s="238">
        <f t="shared" si="2"/>
        <v>145.79999999999995</v>
      </c>
    </row>
    <row r="19" spans="1:32">
      <c r="H19" s="375"/>
      <c r="I19" s="113" t="s">
        <v>9</v>
      </c>
      <c r="J19" s="351" t="s">
        <v>35</v>
      </c>
      <c r="K19" s="115"/>
      <c r="L19" s="116"/>
      <c r="M19" s="117"/>
      <c r="N19" s="31">
        <f t="shared" si="3"/>
        <v>0</v>
      </c>
      <c r="O19" s="117">
        <v>3</v>
      </c>
      <c r="P19" s="31">
        <f t="shared" si="1"/>
        <v>18</v>
      </c>
      <c r="Q19" s="195"/>
      <c r="R19" s="228">
        <f t="shared" si="0"/>
        <v>18</v>
      </c>
      <c r="S19" s="7"/>
      <c r="T19" s="26"/>
      <c r="W19" s="162"/>
      <c r="Y19" s="240" t="s">
        <v>187</v>
      </c>
      <c r="Z19" s="10" t="s">
        <v>186</v>
      </c>
      <c r="AA19" s="232">
        <v>42837</v>
      </c>
      <c r="AB19" s="239">
        <v>504</v>
      </c>
      <c r="AC19" s="281">
        <v>744</v>
      </c>
      <c r="AD19" s="239">
        <v>91.22</v>
      </c>
      <c r="AE19" s="239">
        <v>652.78</v>
      </c>
      <c r="AF19" s="238">
        <f t="shared" si="2"/>
        <v>67.220000000000027</v>
      </c>
    </row>
    <row r="20" spans="1:32">
      <c r="H20" s="375"/>
      <c r="I20" s="113" t="s">
        <v>36</v>
      </c>
      <c r="J20" s="351" t="s">
        <v>37</v>
      </c>
      <c r="K20" s="115"/>
      <c r="L20" s="116"/>
      <c r="M20" s="117"/>
      <c r="N20" s="31">
        <f t="shared" si="3"/>
        <v>0</v>
      </c>
      <c r="O20" s="117">
        <v>27</v>
      </c>
      <c r="P20" s="31">
        <f t="shared" si="1"/>
        <v>150</v>
      </c>
      <c r="Q20" s="195"/>
      <c r="R20" s="228">
        <f t="shared" si="0"/>
        <v>150</v>
      </c>
      <c r="S20" s="7"/>
      <c r="T20" s="268"/>
      <c r="U20" s="269"/>
      <c r="V20" s="270"/>
      <c r="W20" s="271"/>
      <c r="Y20" s="240" t="s">
        <v>185</v>
      </c>
      <c r="Z20" s="10" t="s">
        <v>184</v>
      </c>
      <c r="AA20" s="232">
        <v>42125</v>
      </c>
      <c r="AB20" s="239">
        <v>432</v>
      </c>
      <c r="AC20" s="281">
        <v>660</v>
      </c>
      <c r="AD20" s="239">
        <v>80.92</v>
      </c>
      <c r="AE20" s="239">
        <v>579.08000000000004</v>
      </c>
      <c r="AF20" s="238">
        <f t="shared" si="2"/>
        <v>140.91999999999996</v>
      </c>
    </row>
    <row r="21" spans="1:32">
      <c r="H21" s="357"/>
      <c r="I21" s="370" t="s">
        <v>64</v>
      </c>
      <c r="J21" s="352" t="s">
        <v>65</v>
      </c>
      <c r="K21" s="35"/>
      <c r="L21" s="213"/>
      <c r="M21" s="371"/>
      <c r="N21" s="31">
        <v>0</v>
      </c>
      <c r="O21" s="334">
        <v>29</v>
      </c>
      <c r="P21" s="333">
        <f t="shared" si="1"/>
        <v>150</v>
      </c>
      <c r="Q21" s="195"/>
      <c r="R21" s="228">
        <f t="shared" si="0"/>
        <v>150</v>
      </c>
      <c r="S21" s="7"/>
      <c r="T21" s="268"/>
      <c r="U21" s="269"/>
      <c r="V21" s="272"/>
      <c r="W21" s="273"/>
      <c r="Y21" s="245" t="s">
        <v>183</v>
      </c>
      <c r="Z21" s="244" t="s">
        <v>74</v>
      </c>
      <c r="AA21" s="243">
        <v>42499</v>
      </c>
      <c r="AB21" s="242">
        <v>576</v>
      </c>
      <c r="AC21" s="282">
        <v>828</v>
      </c>
      <c r="AD21" s="242">
        <v>107.64</v>
      </c>
      <c r="AE21" s="241">
        <v>720.36</v>
      </c>
      <c r="AF21" s="319">
        <f t="shared" si="2"/>
        <v>-0.36000000000001364</v>
      </c>
    </row>
    <row r="22" spans="1:32">
      <c r="H22" s="357"/>
      <c r="I22" s="370" t="s">
        <v>13</v>
      </c>
      <c r="J22" s="352" t="s">
        <v>38</v>
      </c>
      <c r="K22" s="35"/>
      <c r="L22" s="213"/>
      <c r="M22" s="371"/>
      <c r="N22" s="31">
        <f t="shared" si="3"/>
        <v>0</v>
      </c>
      <c r="O22" s="334">
        <v>33</v>
      </c>
      <c r="P22" s="333">
        <f t="shared" si="1"/>
        <v>150</v>
      </c>
      <c r="Q22" s="195"/>
      <c r="R22" s="228">
        <f t="shared" si="0"/>
        <v>150</v>
      </c>
      <c r="S22" s="7"/>
      <c r="T22" s="274"/>
      <c r="U22" s="269"/>
      <c r="V22" s="270"/>
      <c r="W22" s="275"/>
      <c r="Y22" s="245" t="s">
        <v>182</v>
      </c>
      <c r="Z22" s="244" t="s">
        <v>51</v>
      </c>
      <c r="AA22" s="243">
        <v>42375</v>
      </c>
      <c r="AB22" s="242">
        <v>624</v>
      </c>
      <c r="AC22" s="282">
        <v>884</v>
      </c>
      <c r="AD22" s="242">
        <v>114.92</v>
      </c>
      <c r="AE22" s="241">
        <v>769.08</v>
      </c>
      <c r="AF22" s="319">
        <f t="shared" si="2"/>
        <v>-49.080000000000041</v>
      </c>
    </row>
    <row r="23" spans="1:32">
      <c r="H23" s="357"/>
      <c r="I23" s="370" t="s">
        <v>39</v>
      </c>
      <c r="J23" s="352" t="s">
        <v>40</v>
      </c>
      <c r="K23" s="35"/>
      <c r="L23" s="213"/>
      <c r="M23" s="371"/>
      <c r="N23" s="31">
        <f t="shared" si="3"/>
        <v>0</v>
      </c>
      <c r="O23" s="334"/>
      <c r="P23" s="333">
        <f t="shared" si="1"/>
        <v>0</v>
      </c>
      <c r="Q23" s="195"/>
      <c r="R23" s="31">
        <f t="shared" si="0"/>
        <v>0</v>
      </c>
      <c r="S23" s="7"/>
      <c r="T23" s="268"/>
      <c r="U23" s="276"/>
      <c r="V23" s="277">
        <v>34.285699999999999</v>
      </c>
      <c r="W23" s="276"/>
      <c r="Y23" s="240" t="s">
        <v>181</v>
      </c>
      <c r="Z23" s="10" t="s">
        <v>180</v>
      </c>
      <c r="AA23" s="232">
        <v>42375</v>
      </c>
      <c r="AB23" s="239">
        <v>492</v>
      </c>
      <c r="AC23" s="281">
        <v>730</v>
      </c>
      <c r="AD23" s="239">
        <v>94.9</v>
      </c>
      <c r="AE23" s="239">
        <v>635.1</v>
      </c>
      <c r="AF23" s="238">
        <f t="shared" si="2"/>
        <v>84.899999999999977</v>
      </c>
    </row>
    <row r="24" spans="1:32">
      <c r="H24" s="357"/>
      <c r="I24" s="370" t="s">
        <v>41</v>
      </c>
      <c r="J24" s="352" t="s">
        <v>42</v>
      </c>
      <c r="K24" s="35"/>
      <c r="L24" s="213"/>
      <c r="M24" s="371"/>
      <c r="N24" s="31">
        <f t="shared" si="3"/>
        <v>0</v>
      </c>
      <c r="O24" s="334">
        <v>3</v>
      </c>
      <c r="P24" s="333">
        <f t="shared" si="1"/>
        <v>18</v>
      </c>
      <c r="Q24" s="195"/>
      <c r="R24" s="228">
        <f t="shared" si="0"/>
        <v>18</v>
      </c>
      <c r="S24" s="7"/>
      <c r="T24" s="268"/>
      <c r="U24" s="269"/>
      <c r="V24" s="270">
        <f>+V23/6*7</f>
        <v>39.999983333333333</v>
      </c>
      <c r="W24" s="275"/>
      <c r="Y24" s="240" t="s">
        <v>179</v>
      </c>
      <c r="Z24" s="10" t="s">
        <v>49</v>
      </c>
      <c r="AA24" s="232">
        <v>42897</v>
      </c>
      <c r="AB24" s="239">
        <v>12</v>
      </c>
      <c r="AC24" s="281">
        <v>21.2</v>
      </c>
      <c r="AD24" s="239">
        <v>2.64</v>
      </c>
      <c r="AE24" s="239">
        <v>18.559999999999999</v>
      </c>
      <c r="AF24" s="238">
        <f t="shared" si="2"/>
        <v>701.44</v>
      </c>
    </row>
    <row r="25" spans="1:32">
      <c r="H25" s="357"/>
      <c r="I25" s="370" t="s">
        <v>26</v>
      </c>
      <c r="J25" s="352" t="s">
        <v>48</v>
      </c>
      <c r="K25" s="18"/>
      <c r="L25" s="213">
        <v>0</v>
      </c>
      <c r="M25" s="371"/>
      <c r="N25" s="31">
        <f t="shared" si="3"/>
        <v>0</v>
      </c>
      <c r="O25" s="334">
        <v>32</v>
      </c>
      <c r="P25" s="333">
        <f t="shared" si="1"/>
        <v>150</v>
      </c>
      <c r="Q25" s="195"/>
      <c r="R25" s="228">
        <f>+L25+N28+P25+Q25</f>
        <v>150</v>
      </c>
      <c r="S25" s="7"/>
      <c r="T25" s="268"/>
      <c r="U25" s="269"/>
      <c r="V25" s="270">
        <v>8</v>
      </c>
      <c r="W25" s="271"/>
      <c r="Y25" s="240" t="s">
        <v>178</v>
      </c>
      <c r="Z25" s="10" t="s">
        <v>177</v>
      </c>
      <c r="AA25" s="232" t="s">
        <v>176</v>
      </c>
      <c r="AB25" s="239">
        <v>444</v>
      </c>
      <c r="AC25" s="281">
        <v>674</v>
      </c>
      <c r="AD25" s="239">
        <v>87.62</v>
      </c>
      <c r="AE25" s="239">
        <v>586.38</v>
      </c>
      <c r="AF25" s="238">
        <f t="shared" si="2"/>
        <v>133.62</v>
      </c>
    </row>
    <row r="26" spans="1:32">
      <c r="H26" s="357"/>
      <c r="I26" s="370" t="s">
        <v>67</v>
      </c>
      <c r="J26" s="350" t="s">
        <v>68</v>
      </c>
      <c r="K26" s="18"/>
      <c r="L26" s="213">
        <v>0</v>
      </c>
      <c r="M26" s="22"/>
      <c r="N26" s="31">
        <f t="shared" si="3"/>
        <v>0</v>
      </c>
      <c r="O26" s="330"/>
      <c r="P26" s="333">
        <f t="shared" si="1"/>
        <v>0</v>
      </c>
      <c r="Q26" s="196"/>
      <c r="R26" s="31">
        <f t="shared" si="0"/>
        <v>0</v>
      </c>
      <c r="S26" s="7"/>
      <c r="T26" s="268"/>
      <c r="U26" s="269"/>
      <c r="V26" s="272">
        <f>+V25*V24</f>
        <v>319.99986666666666</v>
      </c>
      <c r="W26" s="271"/>
      <c r="Y26" s="240" t="s">
        <v>175</v>
      </c>
      <c r="Z26" s="10" t="s">
        <v>57</v>
      </c>
      <c r="AA26" s="232">
        <v>42889</v>
      </c>
      <c r="AB26" s="239">
        <v>528</v>
      </c>
      <c r="AC26" s="281">
        <v>772</v>
      </c>
      <c r="AD26" s="239">
        <v>90.63</v>
      </c>
      <c r="AE26" s="239">
        <v>681.37</v>
      </c>
      <c r="AF26" s="238">
        <f t="shared" si="2"/>
        <v>38.629999999999995</v>
      </c>
    </row>
    <row r="27" spans="1:32">
      <c r="H27" s="357"/>
      <c r="I27" s="372" t="s">
        <v>21</v>
      </c>
      <c r="J27" s="350" t="s">
        <v>152</v>
      </c>
      <c r="K27" s="18"/>
      <c r="L27" s="213">
        <v>0</v>
      </c>
      <c r="M27" s="22"/>
      <c r="N27" s="31">
        <v>0</v>
      </c>
      <c r="O27" s="334">
        <v>26</v>
      </c>
      <c r="P27" s="333">
        <f t="shared" si="1"/>
        <v>150</v>
      </c>
      <c r="Q27" s="196"/>
      <c r="R27" s="228">
        <f t="shared" si="0"/>
        <v>150</v>
      </c>
      <c r="S27" s="7"/>
      <c r="T27" s="274"/>
      <c r="U27" s="269"/>
      <c r="V27" s="270"/>
      <c r="W27" s="271"/>
      <c r="Y27" s="130"/>
      <c r="Z27" s="237"/>
      <c r="AA27" s="236"/>
      <c r="AB27" s="235">
        <f>SUM(AB11:AB26)</f>
        <v>6358.28</v>
      </c>
      <c r="AC27" s="283">
        <f>SUM(AC11:AC26)</f>
        <v>9334.39</v>
      </c>
      <c r="AD27" s="235">
        <f>SUM(AD11:AD26)</f>
        <v>1192.8600000000001</v>
      </c>
      <c r="AE27" s="235">
        <f>SUM(AE11:AE26)</f>
        <v>8141.53</v>
      </c>
      <c r="AF27" s="234"/>
    </row>
    <row r="28" spans="1:32">
      <c r="H28" s="375"/>
      <c r="I28" s="113" t="s">
        <v>43</v>
      </c>
      <c r="J28" s="351" t="s">
        <v>73</v>
      </c>
      <c r="K28" s="115"/>
      <c r="L28" s="116">
        <v>0</v>
      </c>
      <c r="M28" s="117"/>
      <c r="N28" s="31">
        <f>+M25*3</f>
        <v>0</v>
      </c>
      <c r="O28" s="117">
        <v>2</v>
      </c>
      <c r="P28" s="31">
        <f t="shared" si="1"/>
        <v>12</v>
      </c>
      <c r="Q28" s="195"/>
      <c r="R28" s="228">
        <f>+L28+N30+P28+Q28</f>
        <v>12</v>
      </c>
      <c r="S28" s="7"/>
      <c r="T28" s="268"/>
      <c r="U28" s="276"/>
      <c r="V28" s="277"/>
      <c r="W28" s="271"/>
      <c r="Y28" s="233"/>
      <c r="Z28" s="10"/>
      <c r="AA28" s="232"/>
      <c r="AB28" s="231"/>
      <c r="AC28" s="231"/>
      <c r="AD28" s="231"/>
      <c r="AE28" s="231"/>
      <c r="AF28" s="230"/>
    </row>
    <row r="29" spans="1:32">
      <c r="H29" s="358"/>
      <c r="I29" s="113" t="s">
        <v>44</v>
      </c>
      <c r="J29" s="351" t="s">
        <v>45</v>
      </c>
      <c r="K29" s="120"/>
      <c r="L29" s="215">
        <f>+K29*3</f>
        <v>0</v>
      </c>
      <c r="M29" s="117"/>
      <c r="N29" s="31">
        <v>0</v>
      </c>
      <c r="O29" s="332">
        <v>32</v>
      </c>
      <c r="P29" s="333">
        <f>IF(O29&gt;25,150,(O29)*6)</f>
        <v>150</v>
      </c>
      <c r="Q29" s="196"/>
      <c r="R29" s="229">
        <f t="shared" si="0"/>
        <v>150</v>
      </c>
      <c r="S29" s="7"/>
      <c r="T29" s="268"/>
      <c r="U29" s="269"/>
      <c r="V29" s="270"/>
      <c r="W29" s="271"/>
      <c r="Y29" s="289" t="s">
        <v>233</v>
      </c>
      <c r="Z29" s="264"/>
      <c r="AA29" s="264"/>
      <c r="AB29" s="264"/>
      <c r="AC29" s="250" t="s">
        <v>229</v>
      </c>
      <c r="AD29" s="249" t="s">
        <v>213</v>
      </c>
      <c r="AE29" s="249"/>
    </row>
    <row r="30" spans="1:32">
      <c r="A30" s="4"/>
      <c r="B30" s="4"/>
      <c r="C30" s="4"/>
      <c r="D30" s="3"/>
      <c r="E30" s="4"/>
      <c r="F30" s="166"/>
      <c r="G30" s="4"/>
      <c r="H30" s="358"/>
      <c r="I30" s="113" t="s">
        <v>14</v>
      </c>
      <c r="J30" s="351" t="s">
        <v>66</v>
      </c>
      <c r="K30" s="120"/>
      <c r="L30" s="215">
        <f>+K30*3</f>
        <v>0</v>
      </c>
      <c r="M30" s="117"/>
      <c r="N30" s="31">
        <f>+M28*3</f>
        <v>0</v>
      </c>
      <c r="O30" s="332">
        <v>35</v>
      </c>
      <c r="P30" s="333">
        <f>IF(O30&gt;25,150,(O30)*6)</f>
        <v>150</v>
      </c>
      <c r="Q30" s="196"/>
      <c r="R30" s="229">
        <f t="shared" si="0"/>
        <v>150</v>
      </c>
      <c r="S30" s="7"/>
      <c r="T30" s="268"/>
      <c r="U30" s="269"/>
      <c r="V30" s="270"/>
      <c r="W30" s="271"/>
      <c r="Y30" s="259" t="s">
        <v>228</v>
      </c>
      <c r="Z30" s="263" t="s">
        <v>227</v>
      </c>
      <c r="AA30" s="262"/>
      <c r="AB30" s="262"/>
      <c r="AC30" s="250" t="s">
        <v>226</v>
      </c>
      <c r="AD30" s="261" t="s">
        <v>213</v>
      </c>
      <c r="AE30" s="261"/>
    </row>
    <row r="31" spans="1:32">
      <c r="H31" s="357"/>
      <c r="I31" s="370" t="s">
        <v>15</v>
      </c>
      <c r="J31" s="350" t="s">
        <v>16</v>
      </c>
      <c r="K31" s="18"/>
      <c r="L31" s="213">
        <f>+K31*3</f>
        <v>0</v>
      </c>
      <c r="M31" s="371"/>
      <c r="N31" s="23">
        <f>5*M31</f>
        <v>0</v>
      </c>
      <c r="O31" s="334"/>
      <c r="P31" s="331">
        <f t="shared" ref="P31:P40" si="4">IF(O31&gt;25,150,(O31)*6)</f>
        <v>0</v>
      </c>
      <c r="Q31" s="196"/>
      <c r="R31" s="23">
        <f t="shared" si="0"/>
        <v>0</v>
      </c>
      <c r="S31" s="7"/>
      <c r="T31" s="268"/>
      <c r="U31" s="269"/>
      <c r="V31" s="272"/>
      <c r="W31" s="275"/>
      <c r="Y31" s="259" t="s">
        <v>225</v>
      </c>
      <c r="Z31" s="251" t="s">
        <v>224</v>
      </c>
      <c r="AA31" s="250" t="s">
        <v>223</v>
      </c>
      <c r="AB31" s="255">
        <v>43256</v>
      </c>
      <c r="AC31" s="258" t="s">
        <v>222</v>
      </c>
      <c r="AD31" s="257">
        <v>2018</v>
      </c>
      <c r="AE31" s="10"/>
    </row>
    <row r="32" spans="1:32" s="4" customFormat="1">
      <c r="A32"/>
      <c r="B32"/>
      <c r="C32"/>
      <c r="D32" s="1"/>
      <c r="E32"/>
      <c r="F32" s="2"/>
      <c r="G32"/>
      <c r="H32" s="357"/>
      <c r="I32" s="370" t="s">
        <v>17</v>
      </c>
      <c r="J32" s="352" t="s">
        <v>119</v>
      </c>
      <c r="K32" s="35"/>
      <c r="L32" s="213"/>
      <c r="M32" s="371"/>
      <c r="N32" s="31">
        <v>0</v>
      </c>
      <c r="O32" s="334"/>
      <c r="P32" s="333">
        <f t="shared" si="4"/>
        <v>0</v>
      </c>
      <c r="Q32" s="195"/>
      <c r="R32" s="31">
        <f t="shared" si="0"/>
        <v>0</v>
      </c>
      <c r="S32" s="7"/>
      <c r="T32" s="274"/>
      <c r="U32" s="269"/>
      <c r="V32" s="270"/>
      <c r="W32" s="278"/>
      <c r="Y32" s="252" t="s">
        <v>221</v>
      </c>
      <c r="Z32" s="251" t="s">
        <v>220</v>
      </c>
      <c r="AA32" s="250" t="s">
        <v>219</v>
      </c>
      <c r="AB32" s="254" t="s">
        <v>218</v>
      </c>
      <c r="AC32" s="250" t="s">
        <v>217</v>
      </c>
      <c r="AD32" s="255">
        <v>43348</v>
      </c>
      <c r="AE32" s="249"/>
    </row>
    <row r="33" spans="8:31">
      <c r="H33" s="357"/>
      <c r="I33" s="113" t="s">
        <v>75</v>
      </c>
      <c r="J33" s="351" t="s">
        <v>76</v>
      </c>
      <c r="K33" s="115"/>
      <c r="L33" s="215"/>
      <c r="M33" s="117"/>
      <c r="N33" s="31">
        <f>+M33*3</f>
        <v>0</v>
      </c>
      <c r="O33" s="332">
        <v>19</v>
      </c>
      <c r="P33" s="333">
        <f t="shared" si="4"/>
        <v>114</v>
      </c>
      <c r="Q33" s="195"/>
      <c r="R33" s="228">
        <f t="shared" si="0"/>
        <v>114</v>
      </c>
      <c r="S33" s="7"/>
      <c r="T33" s="268"/>
      <c r="U33" s="276"/>
      <c r="V33" s="277"/>
      <c r="W33" s="279"/>
      <c r="Y33" s="252" t="s">
        <v>216</v>
      </c>
      <c r="Z33" s="251" t="s">
        <v>215</v>
      </c>
      <c r="AA33" s="250" t="s">
        <v>214</v>
      </c>
      <c r="AB33" s="249" t="s">
        <v>213</v>
      </c>
      <c r="AC33" s="250" t="s">
        <v>212</v>
      </c>
      <c r="AD33" s="249" t="s">
        <v>211</v>
      </c>
      <c r="AE33" s="249"/>
    </row>
    <row r="34" spans="8:31" ht="17.25" thickBot="1">
      <c r="H34" s="357"/>
      <c r="I34" s="113" t="s">
        <v>146</v>
      </c>
      <c r="J34" s="351" t="s">
        <v>55</v>
      </c>
      <c r="K34" s="115"/>
      <c r="L34" s="215"/>
      <c r="M34" s="117"/>
      <c r="N34" s="31">
        <v>0</v>
      </c>
      <c r="O34" s="332"/>
      <c r="P34" s="333">
        <f t="shared" si="4"/>
        <v>0</v>
      </c>
      <c r="Q34" s="195"/>
      <c r="R34" s="31">
        <f t="shared" si="0"/>
        <v>0</v>
      </c>
      <c r="S34" s="7"/>
      <c r="T34" s="270"/>
      <c r="U34" s="269"/>
      <c r="V34" s="270"/>
      <c r="W34" s="275"/>
      <c r="Y34" s="247" t="s">
        <v>210</v>
      </c>
      <c r="Z34" s="247" t="s">
        <v>209</v>
      </c>
      <c r="AA34" s="246" t="s">
        <v>208</v>
      </c>
      <c r="AB34" s="246" t="s">
        <v>207</v>
      </c>
      <c r="AC34" s="246" t="s">
        <v>206</v>
      </c>
      <c r="AD34" s="246" t="s">
        <v>205</v>
      </c>
      <c r="AE34" s="246" t="s">
        <v>204</v>
      </c>
    </row>
    <row r="35" spans="8:31">
      <c r="H35" s="357"/>
      <c r="I35" s="113" t="s">
        <v>69</v>
      </c>
      <c r="J35" s="351" t="s">
        <v>70</v>
      </c>
      <c r="K35" s="115"/>
      <c r="L35" s="215">
        <v>0</v>
      </c>
      <c r="M35" s="117"/>
      <c r="N35" s="31">
        <f>+M35*3</f>
        <v>0</v>
      </c>
      <c r="O35" s="332">
        <v>23</v>
      </c>
      <c r="P35" s="333">
        <f t="shared" si="4"/>
        <v>138</v>
      </c>
      <c r="Q35" s="195"/>
      <c r="R35" s="228">
        <f t="shared" si="0"/>
        <v>138</v>
      </c>
      <c r="S35" s="7"/>
      <c r="T35" s="268"/>
      <c r="U35" s="269"/>
      <c r="V35" s="270"/>
      <c r="W35" s="271"/>
      <c r="Y35" s="240" t="s">
        <v>202</v>
      </c>
      <c r="Z35" s="10" t="s">
        <v>201</v>
      </c>
      <c r="AA35" s="232">
        <v>43102</v>
      </c>
      <c r="AB35" s="239">
        <v>444</v>
      </c>
      <c r="AC35" s="239">
        <v>674</v>
      </c>
      <c r="AD35" s="239">
        <v>87.62</v>
      </c>
      <c r="AE35" s="239">
        <v>586.38</v>
      </c>
    </row>
    <row r="36" spans="8:31">
      <c r="H36" s="357"/>
      <c r="I36" s="370" t="s">
        <v>91</v>
      </c>
      <c r="J36" s="352" t="s">
        <v>92</v>
      </c>
      <c r="K36" s="35"/>
      <c r="L36" s="213">
        <v>0</v>
      </c>
      <c r="M36" s="371"/>
      <c r="N36" s="31">
        <f>+M36*3</f>
        <v>0</v>
      </c>
      <c r="O36" s="334">
        <v>30</v>
      </c>
      <c r="P36" s="333">
        <f t="shared" si="4"/>
        <v>150</v>
      </c>
      <c r="Q36" s="195"/>
      <c r="R36" s="228">
        <f t="shared" si="0"/>
        <v>150</v>
      </c>
      <c r="S36" s="7"/>
      <c r="T36" s="268"/>
      <c r="U36" s="269"/>
      <c r="V36" s="272"/>
      <c r="W36" s="273"/>
      <c r="Y36" s="240" t="s">
        <v>200</v>
      </c>
      <c r="Z36" s="10" t="s">
        <v>199</v>
      </c>
      <c r="AA36" s="232">
        <v>42837</v>
      </c>
      <c r="AB36" s="239">
        <v>204</v>
      </c>
      <c r="AC36" s="239">
        <v>344.8</v>
      </c>
      <c r="AD36" s="239">
        <v>44.82</v>
      </c>
      <c r="AE36" s="239">
        <v>299.98</v>
      </c>
    </row>
    <row r="37" spans="8:31">
      <c r="H37" s="357"/>
      <c r="I37" s="370" t="s">
        <v>93</v>
      </c>
      <c r="J37" s="350" t="s">
        <v>94</v>
      </c>
      <c r="K37" s="18"/>
      <c r="L37" s="213">
        <v>0</v>
      </c>
      <c r="M37" s="371"/>
      <c r="N37" s="31">
        <v>0</v>
      </c>
      <c r="O37" s="334"/>
      <c r="P37" s="333">
        <f t="shared" si="4"/>
        <v>0</v>
      </c>
      <c r="Q37" s="196"/>
      <c r="R37" s="31">
        <f t="shared" si="0"/>
        <v>0</v>
      </c>
      <c r="S37" s="7"/>
      <c r="T37" s="274"/>
      <c r="U37" s="269"/>
      <c r="V37" s="270"/>
      <c r="W37" s="275"/>
      <c r="Y37" s="240" t="s">
        <v>198</v>
      </c>
      <c r="Z37" s="10" t="s">
        <v>143</v>
      </c>
      <c r="AA37" s="232">
        <v>42837</v>
      </c>
      <c r="AB37" s="239">
        <v>540</v>
      </c>
      <c r="AC37" s="239">
        <v>786</v>
      </c>
      <c r="AD37" s="239">
        <v>102.18</v>
      </c>
      <c r="AE37" s="239">
        <v>683.82</v>
      </c>
    </row>
    <row r="38" spans="8:31">
      <c r="H38" s="357"/>
      <c r="I38" s="370" t="s">
        <v>120</v>
      </c>
      <c r="J38" s="350" t="s">
        <v>121</v>
      </c>
      <c r="K38" s="18"/>
      <c r="L38" s="213">
        <v>0</v>
      </c>
      <c r="M38" s="371"/>
      <c r="N38" s="31">
        <v>0</v>
      </c>
      <c r="O38" s="334"/>
      <c r="P38" s="333">
        <f t="shared" si="4"/>
        <v>0</v>
      </c>
      <c r="Q38" s="196"/>
      <c r="R38" s="31">
        <f t="shared" si="0"/>
        <v>0</v>
      </c>
      <c r="S38" s="7"/>
      <c r="T38" s="268"/>
      <c r="U38" s="276"/>
      <c r="V38" s="277"/>
      <c r="W38" s="276"/>
      <c r="Y38" s="240" t="s">
        <v>197</v>
      </c>
      <c r="Z38" s="10" t="s">
        <v>196</v>
      </c>
      <c r="AA38" s="232">
        <v>42046</v>
      </c>
      <c r="AB38" s="239">
        <v>274.27999999999997</v>
      </c>
      <c r="AC38" s="239">
        <v>323.58999999999997</v>
      </c>
      <c r="AD38" s="239">
        <v>42.07</v>
      </c>
      <c r="AE38" s="239">
        <v>281.52</v>
      </c>
    </row>
    <row r="39" spans="8:31">
      <c r="H39" s="357"/>
      <c r="I39" s="370" t="s">
        <v>125</v>
      </c>
      <c r="J39" s="350" t="s">
        <v>126</v>
      </c>
      <c r="K39" s="18"/>
      <c r="L39" s="213">
        <v>0</v>
      </c>
      <c r="M39" s="371"/>
      <c r="N39" s="31">
        <v>0</v>
      </c>
      <c r="O39" s="334"/>
      <c r="P39" s="333">
        <f t="shared" si="4"/>
        <v>0</v>
      </c>
      <c r="Q39" s="196"/>
      <c r="R39" s="31">
        <f t="shared" si="0"/>
        <v>0</v>
      </c>
      <c r="S39" s="7"/>
      <c r="T39" s="270"/>
      <c r="U39" s="269"/>
      <c r="V39" s="270"/>
      <c r="W39" s="275"/>
      <c r="Y39" s="240" t="s">
        <v>195</v>
      </c>
      <c r="Z39" s="10" t="s">
        <v>194</v>
      </c>
      <c r="AA39" s="232">
        <v>42801</v>
      </c>
      <c r="AB39" s="239">
        <v>144</v>
      </c>
      <c r="AC39" s="239">
        <v>243.6</v>
      </c>
      <c r="AD39" s="239">
        <v>31.67</v>
      </c>
      <c r="AE39" s="239">
        <v>211.93</v>
      </c>
    </row>
    <row r="40" spans="8:31">
      <c r="H40" s="357"/>
      <c r="I40" s="374" t="s">
        <v>158</v>
      </c>
      <c r="J40" s="382" t="s">
        <v>159</v>
      </c>
      <c r="K40" s="51"/>
      <c r="L40" s="383">
        <v>0</v>
      </c>
      <c r="M40" s="384"/>
      <c r="N40" s="54">
        <f>+M40*3</f>
        <v>0</v>
      </c>
      <c r="O40" s="385"/>
      <c r="P40" s="386">
        <f t="shared" si="4"/>
        <v>0</v>
      </c>
      <c r="Q40" s="387"/>
      <c r="R40" s="54">
        <f t="shared" si="0"/>
        <v>0</v>
      </c>
      <c r="S40" s="7"/>
      <c r="T40" s="268"/>
      <c r="U40" s="269"/>
      <c r="V40" s="270"/>
      <c r="W40" s="271"/>
      <c r="Y40" s="240" t="s">
        <v>193</v>
      </c>
      <c r="Z40" s="10" t="s">
        <v>192</v>
      </c>
      <c r="AA40" s="232">
        <v>42499</v>
      </c>
      <c r="AB40" s="239">
        <v>12</v>
      </c>
      <c r="AC40" s="239">
        <v>21.2</v>
      </c>
      <c r="AD40" s="239">
        <v>2.76</v>
      </c>
      <c r="AE40" s="239">
        <v>18.440000000000001</v>
      </c>
    </row>
    <row r="41" spans="8:31">
      <c r="I41" s="41"/>
      <c r="J41" s="42"/>
      <c r="K41" s="65">
        <f t="shared" ref="K41:Q41" si="5">SUM(K5:K40)</f>
        <v>0</v>
      </c>
      <c r="L41" s="66">
        <f t="shared" si="5"/>
        <v>0</v>
      </c>
      <c r="M41" s="56">
        <f t="shared" si="5"/>
        <v>0</v>
      </c>
      <c r="N41" s="58">
        <f t="shared" si="5"/>
        <v>0</v>
      </c>
      <c r="O41" s="335">
        <f t="shared" si="5"/>
        <v>414</v>
      </c>
      <c r="P41" s="336">
        <f t="shared" si="5"/>
        <v>2082</v>
      </c>
      <c r="Q41" s="58">
        <f t="shared" si="5"/>
        <v>320</v>
      </c>
      <c r="R41" s="57">
        <f t="shared" si="0"/>
        <v>2402</v>
      </c>
      <c r="S41" s="7"/>
      <c r="T41" s="268"/>
      <c r="U41" s="269"/>
      <c r="V41" s="272"/>
      <c r="W41" s="270"/>
      <c r="Y41" s="285" t="s">
        <v>191</v>
      </c>
      <c r="Z41" s="286" t="s">
        <v>190</v>
      </c>
      <c r="AA41" s="287">
        <v>42046</v>
      </c>
      <c r="AB41" s="282">
        <v>696</v>
      </c>
      <c r="AC41" s="282">
        <v>827.2</v>
      </c>
      <c r="AD41" s="282">
        <v>107.21</v>
      </c>
      <c r="AE41" s="288">
        <v>719.99</v>
      </c>
    </row>
    <row r="42" spans="8:31">
      <c r="L42" s="167" t="s">
        <v>105</v>
      </c>
      <c r="M42" s="168">
        <v>245</v>
      </c>
      <c r="N42" s="167" t="s">
        <v>105</v>
      </c>
      <c r="O42" s="168"/>
      <c r="P42" s="175">
        <f>+P43-P41</f>
        <v>450</v>
      </c>
      <c r="Q42" s="168"/>
      <c r="R42" s="175">
        <f>+R12+R16</f>
        <v>150</v>
      </c>
      <c r="S42" s="7"/>
      <c r="T42" s="268"/>
      <c r="U42" s="269"/>
      <c r="V42" s="272"/>
      <c r="W42" s="270"/>
      <c r="Y42" s="240" t="s">
        <v>189</v>
      </c>
      <c r="Z42" s="10" t="s">
        <v>188</v>
      </c>
      <c r="AA42" s="232">
        <v>43347</v>
      </c>
      <c r="AB42" s="239">
        <v>432</v>
      </c>
      <c r="AC42" s="239">
        <v>660</v>
      </c>
      <c r="AD42" s="239">
        <v>85.8</v>
      </c>
      <c r="AE42" s="239">
        <v>574.20000000000005</v>
      </c>
    </row>
    <row r="43" spans="8:31">
      <c r="L43" s="169"/>
      <c r="M43" s="170">
        <f>+M41-M42</f>
        <v>-245</v>
      </c>
      <c r="N43" s="171" t="s">
        <v>147</v>
      </c>
      <c r="O43" s="169"/>
      <c r="P43" s="169">
        <v>2532</v>
      </c>
      <c r="Q43" s="393" t="s">
        <v>133</v>
      </c>
      <c r="R43" s="392">
        <f>+R41-R42</f>
        <v>2252</v>
      </c>
      <c r="S43" s="7"/>
      <c r="T43" s="274"/>
      <c r="U43" s="269"/>
      <c r="V43" s="270"/>
      <c r="W43" s="278"/>
      <c r="Y43" s="240" t="s">
        <v>187</v>
      </c>
      <c r="Z43" s="10" t="s">
        <v>186</v>
      </c>
      <c r="AA43" s="232">
        <v>42837</v>
      </c>
      <c r="AB43" s="239">
        <v>504</v>
      </c>
      <c r="AC43" s="239">
        <v>744</v>
      </c>
      <c r="AD43" s="239">
        <v>91.22</v>
      </c>
      <c r="AE43" s="239">
        <v>652.78</v>
      </c>
    </row>
    <row r="44" spans="8:31">
      <c r="T44" s="268"/>
      <c r="U44" s="276"/>
      <c r="V44" s="277"/>
      <c r="W44" s="279"/>
      <c r="Y44" s="240" t="s">
        <v>185</v>
      </c>
      <c r="Z44" s="10" t="s">
        <v>184</v>
      </c>
      <c r="AA44" s="232">
        <v>42125</v>
      </c>
      <c r="AB44" s="239">
        <v>432</v>
      </c>
      <c r="AC44" s="239">
        <v>660</v>
      </c>
      <c r="AD44" s="239">
        <v>80.92</v>
      </c>
      <c r="AE44" s="239">
        <v>579.08000000000004</v>
      </c>
    </row>
    <row r="45" spans="8:31">
      <c r="Q45">
        <f>186/31</f>
        <v>6</v>
      </c>
      <c r="R45">
        <v>1440</v>
      </c>
      <c r="T45" s="270"/>
      <c r="U45" s="269"/>
      <c r="V45" s="270"/>
      <c r="W45" s="270"/>
      <c r="Y45" s="285" t="s">
        <v>183</v>
      </c>
      <c r="Z45" s="286" t="s">
        <v>74</v>
      </c>
      <c r="AA45" s="287">
        <v>42499</v>
      </c>
      <c r="AB45" s="282">
        <v>576</v>
      </c>
      <c r="AC45" s="282">
        <v>827.59</v>
      </c>
      <c r="AD45" s="282">
        <v>107.59</v>
      </c>
      <c r="AE45" s="288">
        <v>720</v>
      </c>
    </row>
    <row r="46" spans="8:31">
      <c r="P46" s="67"/>
      <c r="R46" s="6">
        <f>+R43-R45</f>
        <v>812</v>
      </c>
      <c r="T46" s="270"/>
      <c r="U46" s="269"/>
      <c r="V46" s="270"/>
      <c r="W46" s="270"/>
      <c r="Y46" s="285" t="s">
        <v>182</v>
      </c>
      <c r="Z46" s="286" t="s">
        <v>51</v>
      </c>
      <c r="AA46" s="287">
        <v>42375</v>
      </c>
      <c r="AB46" s="282">
        <v>624</v>
      </c>
      <c r="AC46" s="282">
        <v>827.6</v>
      </c>
      <c r="AD46" s="282">
        <v>107.59</v>
      </c>
      <c r="AE46" s="288">
        <v>720.01</v>
      </c>
    </row>
    <row r="47" spans="8:31">
      <c r="P47" s="67"/>
      <c r="T47" s="270"/>
      <c r="U47" s="269"/>
      <c r="V47" s="270"/>
      <c r="W47" s="270"/>
      <c r="Y47" s="240" t="s">
        <v>181</v>
      </c>
      <c r="Z47" s="10" t="s">
        <v>180</v>
      </c>
      <c r="AA47" s="232">
        <v>42375</v>
      </c>
      <c r="AB47" s="239">
        <v>492</v>
      </c>
      <c r="AC47" s="239">
        <v>730</v>
      </c>
      <c r="AD47" s="239">
        <v>94.9</v>
      </c>
      <c r="AE47" s="239">
        <v>635.1</v>
      </c>
    </row>
    <row r="48" spans="8:31">
      <c r="T48" s="270"/>
      <c r="U48" s="269"/>
      <c r="V48" s="270"/>
      <c r="W48" s="270"/>
      <c r="Y48" s="240" t="s">
        <v>179</v>
      </c>
      <c r="Z48" s="10" t="s">
        <v>49</v>
      </c>
      <c r="AA48" s="232">
        <v>42897</v>
      </c>
      <c r="AB48" s="239">
        <v>12</v>
      </c>
      <c r="AC48" s="239">
        <v>21.2</v>
      </c>
      <c r="AD48" s="239">
        <v>2.64</v>
      </c>
      <c r="AE48" s="239">
        <v>18.559999999999999</v>
      </c>
    </row>
    <row r="49" spans="20:35">
      <c r="T49" s="270"/>
      <c r="U49" s="269"/>
      <c r="V49" s="270"/>
      <c r="W49" s="270"/>
      <c r="Y49" s="240" t="s">
        <v>178</v>
      </c>
      <c r="Z49" s="10" t="s">
        <v>177</v>
      </c>
      <c r="AA49" s="232" t="s">
        <v>176</v>
      </c>
      <c r="AB49" s="239">
        <v>444</v>
      </c>
      <c r="AC49" s="239">
        <v>674</v>
      </c>
      <c r="AD49" s="239">
        <v>87.62</v>
      </c>
      <c r="AE49" s="239">
        <v>586.38</v>
      </c>
    </row>
    <row r="50" spans="20:35">
      <c r="T50" s="270"/>
      <c r="U50" s="269"/>
      <c r="V50" s="270"/>
      <c r="W50" s="270"/>
      <c r="Y50" s="240" t="s">
        <v>175</v>
      </c>
      <c r="Z50" s="10" t="s">
        <v>57</v>
      </c>
      <c r="AA50" s="232">
        <v>42889</v>
      </c>
      <c r="AB50" s="239">
        <v>528</v>
      </c>
      <c r="AC50" s="239">
        <v>772</v>
      </c>
      <c r="AD50" s="239">
        <v>90.63</v>
      </c>
      <c r="AE50" s="239">
        <v>681.37</v>
      </c>
    </row>
    <row r="51" spans="20:35">
      <c r="T51" s="270"/>
      <c r="U51" s="269"/>
      <c r="V51" s="270"/>
      <c r="W51" s="270"/>
      <c r="Y51" s="130"/>
      <c r="Z51" s="237"/>
      <c r="AA51" s="236"/>
      <c r="AB51" s="235">
        <f>SUM(AB35:AB50)</f>
        <v>6358.28</v>
      </c>
      <c r="AC51" s="235">
        <f>SUM(AC35:AC50)</f>
        <v>9136.7799999999988</v>
      </c>
      <c r="AD51" s="235">
        <f>SUM(AD35:AD50)</f>
        <v>1167.2400000000002</v>
      </c>
      <c r="AE51" s="235">
        <f>SUM(AE35:AE50)</f>
        <v>7969.5400000000009</v>
      </c>
    </row>
    <row r="52" spans="20:35">
      <c r="T52" s="270"/>
      <c r="U52" s="269"/>
      <c r="V52" s="270"/>
      <c r="W52" s="270"/>
    </row>
    <row r="53" spans="20:35">
      <c r="Y53" s="291" t="s">
        <v>230</v>
      </c>
      <c r="Z53" s="292"/>
      <c r="AA53" s="292"/>
      <c r="AB53" s="292"/>
      <c r="AC53" s="293" t="s">
        <v>229</v>
      </c>
      <c r="AD53" s="294" t="s">
        <v>213</v>
      </c>
      <c r="AE53" s="295"/>
      <c r="AF53" s="248"/>
      <c r="AG53" s="249"/>
      <c r="AH53" s="249"/>
      <c r="AI53" s="254"/>
    </row>
    <row r="54" spans="20:35">
      <c r="Y54" s="296" t="s">
        <v>228</v>
      </c>
      <c r="Z54" s="297" t="s">
        <v>227</v>
      </c>
      <c r="AA54" s="298"/>
      <c r="AB54" s="298"/>
      <c r="AC54" s="299" t="s">
        <v>226</v>
      </c>
      <c r="AD54" s="260" t="s">
        <v>213</v>
      </c>
      <c r="AE54" s="300"/>
      <c r="AF54" s="260"/>
      <c r="AG54" s="261"/>
      <c r="AH54" s="261"/>
      <c r="AI54" s="254"/>
    </row>
    <row r="55" spans="20:35">
      <c r="Y55" s="296" t="s">
        <v>225</v>
      </c>
      <c r="Z55" s="301" t="s">
        <v>224</v>
      </c>
      <c r="AA55" s="299" t="s">
        <v>223</v>
      </c>
      <c r="AB55" s="302">
        <v>43256</v>
      </c>
      <c r="AC55" s="303" t="s">
        <v>222</v>
      </c>
      <c r="AD55" s="304">
        <v>2018</v>
      </c>
      <c r="AE55" s="305"/>
      <c r="AF55" s="256"/>
      <c r="AG55" s="10"/>
      <c r="AH55" s="10"/>
      <c r="AI55" s="10"/>
    </row>
    <row r="56" spans="20:35">
      <c r="Y56" s="306" t="s">
        <v>221</v>
      </c>
      <c r="Z56" s="301" t="s">
        <v>220</v>
      </c>
      <c r="AA56" s="299" t="s">
        <v>219</v>
      </c>
      <c r="AB56" s="253" t="s">
        <v>218</v>
      </c>
      <c r="AC56" s="299" t="s">
        <v>217</v>
      </c>
      <c r="AD56" s="302">
        <v>43348</v>
      </c>
      <c r="AE56" s="307"/>
      <c r="AF56" s="248"/>
      <c r="AG56" s="249"/>
      <c r="AH56" s="249"/>
      <c r="AI56" s="254"/>
    </row>
    <row r="57" spans="20:35">
      <c r="Y57" s="306" t="s">
        <v>216</v>
      </c>
      <c r="Z57" s="301" t="s">
        <v>215</v>
      </c>
      <c r="AA57" s="299" t="s">
        <v>214</v>
      </c>
      <c r="AB57" s="248" t="s">
        <v>213</v>
      </c>
      <c r="AC57" s="299" t="s">
        <v>212</v>
      </c>
      <c r="AD57" s="248" t="s">
        <v>211</v>
      </c>
      <c r="AE57" s="307"/>
      <c r="AF57" s="248"/>
      <c r="AG57" s="249"/>
      <c r="AH57" s="249"/>
      <c r="AI57" s="250"/>
    </row>
    <row r="58" spans="20:35" ht="17.25" thickBot="1">
      <c r="Y58" s="308" t="s">
        <v>210</v>
      </c>
      <c r="Z58" s="247" t="s">
        <v>209</v>
      </c>
      <c r="AA58" s="246" t="s">
        <v>208</v>
      </c>
      <c r="AB58" s="246" t="s">
        <v>207</v>
      </c>
      <c r="AC58" s="246" t="s">
        <v>206</v>
      </c>
      <c r="AD58" s="246" t="s">
        <v>205</v>
      </c>
      <c r="AE58" s="309" t="s">
        <v>204</v>
      </c>
      <c r="AF58" s="290"/>
      <c r="AG58" s="246" t="s">
        <v>237</v>
      </c>
      <c r="AH58" s="246" t="s">
        <v>236</v>
      </c>
      <c r="AI58" s="246" t="s">
        <v>235</v>
      </c>
    </row>
    <row r="59" spans="20:35">
      <c r="Y59" s="310" t="s">
        <v>202</v>
      </c>
      <c r="Z59" s="256" t="s">
        <v>201</v>
      </c>
      <c r="AA59" s="311">
        <v>43102</v>
      </c>
      <c r="AB59" s="238">
        <v>444</v>
      </c>
      <c r="AC59" s="238">
        <v>748</v>
      </c>
      <c r="AD59" s="238">
        <v>97.24</v>
      </c>
      <c r="AE59" s="312">
        <v>650.76</v>
      </c>
      <c r="AF59" s="238"/>
      <c r="AG59" s="239">
        <v>74</v>
      </c>
      <c r="AH59" s="239">
        <v>150</v>
      </c>
      <c r="AI59" s="239">
        <v>5</v>
      </c>
    </row>
    <row r="60" spans="20:35">
      <c r="Y60" s="310" t="s">
        <v>200</v>
      </c>
      <c r="Z60" s="256" t="s">
        <v>199</v>
      </c>
      <c r="AA60" s="311">
        <v>42837</v>
      </c>
      <c r="AB60" s="238">
        <v>204</v>
      </c>
      <c r="AC60" s="238">
        <v>378.8</v>
      </c>
      <c r="AD60" s="238">
        <v>49.24</v>
      </c>
      <c r="AE60" s="312">
        <v>329.56</v>
      </c>
      <c r="AF60" s="238"/>
      <c r="AG60" s="239">
        <v>34</v>
      </c>
      <c r="AH60" s="239">
        <v>102</v>
      </c>
      <c r="AI60" s="239">
        <v>4</v>
      </c>
    </row>
    <row r="61" spans="20:35">
      <c r="Y61" s="310" t="s">
        <v>198</v>
      </c>
      <c r="Z61" s="256" t="s">
        <v>143</v>
      </c>
      <c r="AA61" s="311">
        <v>42837</v>
      </c>
      <c r="AB61" s="238">
        <v>540</v>
      </c>
      <c r="AC61" s="238">
        <v>876</v>
      </c>
      <c r="AD61" s="238">
        <v>113.88</v>
      </c>
      <c r="AE61" s="312">
        <v>762.12</v>
      </c>
      <c r="AF61" s="238"/>
      <c r="AG61" s="239">
        <v>90</v>
      </c>
      <c r="AH61" s="239">
        <v>150</v>
      </c>
      <c r="AI61" s="239">
        <v>5</v>
      </c>
    </row>
    <row r="62" spans="20:35">
      <c r="Y62" s="310" t="s">
        <v>197</v>
      </c>
      <c r="Z62" s="256" t="s">
        <v>196</v>
      </c>
      <c r="AA62" s="311">
        <v>42046</v>
      </c>
      <c r="AB62" s="238">
        <v>274.27999999999997</v>
      </c>
      <c r="AC62" s="238">
        <v>369.3</v>
      </c>
      <c r="AD62" s="238">
        <v>48.01</v>
      </c>
      <c r="AE62" s="312">
        <v>321.29000000000002</v>
      </c>
      <c r="AF62" s="238"/>
      <c r="AG62" s="239">
        <v>45.71</v>
      </c>
      <c r="AH62" s="239">
        <v>0</v>
      </c>
      <c r="AI62" s="239">
        <v>3</v>
      </c>
    </row>
    <row r="63" spans="20:35">
      <c r="Y63" s="310" t="s">
        <v>195</v>
      </c>
      <c r="Z63" s="256" t="s">
        <v>194</v>
      </c>
      <c r="AA63" s="311">
        <v>42801</v>
      </c>
      <c r="AB63" s="238">
        <v>144</v>
      </c>
      <c r="AC63" s="238">
        <v>267.60000000000002</v>
      </c>
      <c r="AD63" s="238">
        <v>34.79</v>
      </c>
      <c r="AE63" s="312">
        <v>232.81</v>
      </c>
      <c r="AF63" s="238"/>
      <c r="AG63" s="239">
        <v>24</v>
      </c>
      <c r="AH63" s="239">
        <v>72</v>
      </c>
      <c r="AI63" s="239">
        <v>3</v>
      </c>
    </row>
    <row r="64" spans="20:35">
      <c r="Y64" s="310" t="s">
        <v>193</v>
      </c>
      <c r="Z64" s="256" t="s">
        <v>192</v>
      </c>
      <c r="AA64" s="311">
        <v>42499</v>
      </c>
      <c r="AB64" s="238">
        <v>12</v>
      </c>
      <c r="AC64" s="238">
        <v>23.2</v>
      </c>
      <c r="AD64" s="238">
        <v>3.02</v>
      </c>
      <c r="AE64" s="312">
        <v>20.18</v>
      </c>
      <c r="AF64" s="238"/>
      <c r="AG64" s="239">
        <v>2</v>
      </c>
      <c r="AH64" s="239">
        <v>6</v>
      </c>
      <c r="AI64" s="239">
        <v>1</v>
      </c>
    </row>
    <row r="65" spans="25:35">
      <c r="Y65" s="310" t="s">
        <v>191</v>
      </c>
      <c r="Z65" s="256" t="s">
        <v>190</v>
      </c>
      <c r="AA65" s="311">
        <v>42046</v>
      </c>
      <c r="AB65" s="238">
        <v>696</v>
      </c>
      <c r="AC65" s="238">
        <v>943.2</v>
      </c>
      <c r="AD65" s="238">
        <v>122.24</v>
      </c>
      <c r="AE65" s="312">
        <v>820.96</v>
      </c>
      <c r="AF65" s="238"/>
      <c r="AG65" s="239">
        <v>116</v>
      </c>
      <c r="AH65" s="239">
        <v>9.1999999999999993</v>
      </c>
      <c r="AI65" s="239">
        <v>5</v>
      </c>
    </row>
    <row r="66" spans="25:35">
      <c r="Y66" s="310" t="s">
        <v>189</v>
      </c>
      <c r="Z66" s="256" t="s">
        <v>188</v>
      </c>
      <c r="AA66" s="311">
        <v>43347</v>
      </c>
      <c r="AB66" s="238">
        <v>432</v>
      </c>
      <c r="AC66" s="238">
        <v>732</v>
      </c>
      <c r="AD66" s="238">
        <v>95.16</v>
      </c>
      <c r="AE66" s="312">
        <v>636.84</v>
      </c>
      <c r="AF66" s="238"/>
      <c r="AG66" s="239">
        <v>72</v>
      </c>
      <c r="AH66" s="239">
        <v>150</v>
      </c>
      <c r="AI66" s="239">
        <v>5</v>
      </c>
    </row>
    <row r="67" spans="25:35">
      <c r="Y67" s="310" t="s">
        <v>187</v>
      </c>
      <c r="Z67" s="256" t="s">
        <v>186</v>
      </c>
      <c r="AA67" s="311">
        <v>42837</v>
      </c>
      <c r="AB67" s="238">
        <v>504</v>
      </c>
      <c r="AC67" s="238">
        <v>828</v>
      </c>
      <c r="AD67" s="238">
        <v>101.51</v>
      </c>
      <c r="AE67" s="312">
        <v>726.49</v>
      </c>
      <c r="AF67" s="238"/>
      <c r="AG67" s="239">
        <v>84</v>
      </c>
      <c r="AH67" s="239">
        <v>150</v>
      </c>
      <c r="AI67" s="239">
        <v>5</v>
      </c>
    </row>
    <row r="68" spans="25:35">
      <c r="Y68" s="310" t="s">
        <v>185</v>
      </c>
      <c r="Z68" s="256" t="s">
        <v>184</v>
      </c>
      <c r="AA68" s="311">
        <v>42125</v>
      </c>
      <c r="AB68" s="238">
        <v>432</v>
      </c>
      <c r="AC68" s="238">
        <v>732</v>
      </c>
      <c r="AD68" s="238">
        <v>89.75</v>
      </c>
      <c r="AE68" s="312">
        <v>642.25</v>
      </c>
      <c r="AF68" s="238"/>
      <c r="AG68" s="239">
        <v>72</v>
      </c>
      <c r="AH68" s="239">
        <v>150</v>
      </c>
      <c r="AI68" s="239">
        <v>5</v>
      </c>
    </row>
    <row r="69" spans="25:35">
      <c r="Y69" s="310" t="s">
        <v>183</v>
      </c>
      <c r="Z69" s="256" t="s">
        <v>74</v>
      </c>
      <c r="AA69" s="311">
        <v>42499</v>
      </c>
      <c r="AB69" s="238">
        <v>576</v>
      </c>
      <c r="AC69" s="238">
        <v>923.59</v>
      </c>
      <c r="AD69" s="238">
        <v>120.07</v>
      </c>
      <c r="AE69" s="312">
        <v>803.52</v>
      </c>
      <c r="AF69" s="238"/>
      <c r="AG69" s="239">
        <v>96</v>
      </c>
      <c r="AH69" s="239">
        <v>149.59</v>
      </c>
      <c r="AI69" s="239">
        <v>5</v>
      </c>
    </row>
    <row r="70" spans="25:35">
      <c r="Y70" s="310" t="s">
        <v>182</v>
      </c>
      <c r="Z70" s="256" t="s">
        <v>51</v>
      </c>
      <c r="AA70" s="311">
        <v>42375</v>
      </c>
      <c r="AB70" s="238">
        <v>624</v>
      </c>
      <c r="AC70" s="238">
        <v>931.6</v>
      </c>
      <c r="AD70" s="238">
        <v>121.11</v>
      </c>
      <c r="AE70" s="312">
        <v>810.49</v>
      </c>
      <c r="AF70" s="238"/>
      <c r="AG70" s="239">
        <v>104</v>
      </c>
      <c r="AH70" s="239">
        <v>93.6</v>
      </c>
      <c r="AI70" s="239">
        <v>5</v>
      </c>
    </row>
    <row r="71" spans="25:35">
      <c r="Y71" s="310" t="s">
        <v>181</v>
      </c>
      <c r="Z71" s="256" t="s">
        <v>180</v>
      </c>
      <c r="AA71" s="311">
        <v>42375</v>
      </c>
      <c r="AB71" s="238">
        <v>492</v>
      </c>
      <c r="AC71" s="238">
        <v>812</v>
      </c>
      <c r="AD71" s="238">
        <v>105.56</v>
      </c>
      <c r="AE71" s="312">
        <v>706.44</v>
      </c>
      <c r="AF71" s="238"/>
      <c r="AG71" s="239">
        <v>82</v>
      </c>
      <c r="AH71" s="239">
        <v>150</v>
      </c>
      <c r="AI71" s="239">
        <v>5</v>
      </c>
    </row>
    <row r="72" spans="25:35">
      <c r="Y72" s="310" t="s">
        <v>179</v>
      </c>
      <c r="Z72" s="256" t="s">
        <v>49</v>
      </c>
      <c r="AA72" s="311">
        <v>42897</v>
      </c>
      <c r="AB72" s="238">
        <v>12</v>
      </c>
      <c r="AC72" s="238">
        <v>23.2</v>
      </c>
      <c r="AD72" s="238">
        <v>2.89</v>
      </c>
      <c r="AE72" s="312">
        <v>20.309999999999999</v>
      </c>
      <c r="AF72" s="238"/>
      <c r="AG72" s="239">
        <v>2</v>
      </c>
      <c r="AH72" s="239">
        <v>6</v>
      </c>
      <c r="AI72" s="239">
        <v>1</v>
      </c>
    </row>
    <row r="73" spans="25:35">
      <c r="Y73" s="310" t="s">
        <v>178</v>
      </c>
      <c r="Z73" s="256" t="s">
        <v>177</v>
      </c>
      <c r="AA73" s="311" t="s">
        <v>176</v>
      </c>
      <c r="AB73" s="238">
        <v>444</v>
      </c>
      <c r="AC73" s="238">
        <v>748</v>
      </c>
      <c r="AD73" s="238">
        <v>97.24</v>
      </c>
      <c r="AE73" s="312">
        <v>650.76</v>
      </c>
      <c r="AF73" s="238"/>
      <c r="AG73" s="239">
        <v>74</v>
      </c>
      <c r="AH73" s="239">
        <v>150</v>
      </c>
      <c r="AI73" s="239">
        <v>5</v>
      </c>
    </row>
    <row r="74" spans="25:35">
      <c r="Y74" s="310" t="s">
        <v>175</v>
      </c>
      <c r="Z74" s="256" t="s">
        <v>57</v>
      </c>
      <c r="AA74" s="311">
        <v>42889</v>
      </c>
      <c r="AB74" s="238">
        <v>528</v>
      </c>
      <c r="AC74" s="238">
        <v>860</v>
      </c>
      <c r="AD74" s="238">
        <v>100.97</v>
      </c>
      <c r="AE74" s="312">
        <v>759.03</v>
      </c>
      <c r="AF74" s="238"/>
      <c r="AG74" s="239">
        <v>88</v>
      </c>
      <c r="AH74" s="239">
        <v>150</v>
      </c>
      <c r="AI74" s="239">
        <v>5</v>
      </c>
    </row>
    <row r="75" spans="25:35">
      <c r="Y75" s="313"/>
      <c r="Z75" s="314"/>
      <c r="AA75" s="315"/>
      <c r="AB75" s="316">
        <f>SUM(AB59:AB74)</f>
        <v>6358.28</v>
      </c>
      <c r="AC75" s="316">
        <f>SUM(AC59:AC74)</f>
        <v>10196.490000000002</v>
      </c>
      <c r="AD75" s="316">
        <f>SUM(AD59:AD74)</f>
        <v>1302.6800000000003</v>
      </c>
      <c r="AE75" s="317">
        <f>SUM(AE59:AE74)</f>
        <v>8893.8100000000013</v>
      </c>
      <c r="AF75" s="234"/>
      <c r="AG75" s="235">
        <f>SUM(AG59:AG74)</f>
        <v>1059.71</v>
      </c>
      <c r="AH75" s="235">
        <f>SUM(AH59:AH74)</f>
        <v>1638.3899999999999</v>
      </c>
      <c r="AI75" s="235">
        <f>SUM(AI59:AI74)</f>
        <v>67</v>
      </c>
    </row>
  </sheetData>
  <mergeCells count="4">
    <mergeCell ref="I2:R2"/>
    <mergeCell ref="K3:N3"/>
    <mergeCell ref="O3:P3"/>
    <mergeCell ref="S3:U3"/>
  </mergeCells>
  <conditionalFormatting sqref="R41 R5:R6">
    <cfRule type="cellIs" dxfId="14" priority="1" operator="lessThanOrEqual">
      <formula>0</formula>
    </cfRule>
  </conditionalFormatting>
  <printOptions horizontalCentered="1"/>
  <pageMargins left="0" right="0" top="0.42" bottom="0" header="0.31496062992125984" footer="0.31496062992125984"/>
  <pageSetup paperSize="9" scale="82" orientation="portrait" r:id="rId1"/>
  <ignoredErrors>
    <ignoredError sqref="R25:R28 N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5"/>
  <sheetViews>
    <sheetView zoomScale="85" zoomScaleNormal="85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H12" sqref="H12"/>
    </sheetView>
  </sheetViews>
  <sheetFormatPr baseColWidth="10" defaultRowHeight="15"/>
  <cols>
    <col min="1" max="1" width="5.7109375" customWidth="1"/>
    <col min="2" max="2" width="0" hidden="1" customWidth="1"/>
    <col min="3" max="3" width="20.7109375" hidden="1" customWidth="1"/>
    <col min="4" max="4" width="20.7109375" style="1" hidden="1" customWidth="1"/>
    <col min="5" max="5" width="13.28515625" hidden="1" customWidth="1"/>
    <col min="6" max="6" width="10.42578125" style="2" hidden="1" customWidth="1"/>
    <col min="7" max="7" width="25.28515625" hidden="1" customWidth="1"/>
    <col min="8" max="8" width="12.5703125" bestFit="1" customWidth="1"/>
    <col min="9" max="9" width="8.7109375" customWidth="1"/>
    <col min="10" max="10" width="24.140625" customWidth="1"/>
    <col min="11" max="11" width="8.7109375" customWidth="1"/>
    <col min="12" max="12" width="10.7109375" bestFit="1" customWidth="1"/>
    <col min="13" max="13" width="8.7109375" customWidth="1"/>
    <col min="14" max="14" width="10.7109375" customWidth="1"/>
    <col min="15" max="15" width="8.7109375" customWidth="1"/>
    <col min="16" max="16" width="11.42578125" customWidth="1"/>
    <col min="17" max="17" width="11.7109375" customWidth="1"/>
    <col min="18" max="18" width="12.5703125" bestFit="1" customWidth="1"/>
    <col min="19" max="19" width="2.7109375" customWidth="1"/>
    <col min="20" max="20" width="13.28515625" customWidth="1"/>
    <col min="21" max="21" width="11.5703125" style="181" customWidth="1"/>
    <col min="22" max="22" width="10.7109375" customWidth="1"/>
    <col min="23" max="23" width="20.7109375" customWidth="1"/>
    <col min="24" max="24" width="2" customWidth="1"/>
    <col min="25" max="25" width="11.85546875" customWidth="1"/>
    <col min="26" max="26" width="20" customWidth="1"/>
    <col min="27" max="27" width="11.7109375" customWidth="1"/>
    <col min="28" max="28" width="11" customWidth="1"/>
    <col min="29" max="29" width="10.7109375" customWidth="1"/>
    <col min="30" max="30" width="10.42578125" customWidth="1"/>
    <col min="31" max="31" width="12.28515625" customWidth="1"/>
    <col min="32" max="32" width="9.42578125" customWidth="1"/>
    <col min="33" max="33" width="9.85546875" customWidth="1"/>
    <col min="34" max="34" width="9.5703125" customWidth="1"/>
  </cols>
  <sheetData>
    <row r="1" spans="8:32" ht="5.0999999999999996" customHeight="1"/>
    <row r="2" spans="8:32">
      <c r="H2" s="357"/>
      <c r="I2" s="409" t="s">
        <v>249</v>
      </c>
      <c r="J2" s="409"/>
      <c r="K2" s="409"/>
      <c r="L2" s="409"/>
      <c r="M2" s="409"/>
      <c r="N2" s="409"/>
      <c r="O2" s="409"/>
      <c r="P2" s="409"/>
      <c r="Q2" s="409"/>
      <c r="R2" s="409"/>
      <c r="S2" s="357"/>
      <c r="T2" s="359"/>
      <c r="U2" s="357"/>
    </row>
    <row r="3" spans="8:32">
      <c r="H3" s="357"/>
      <c r="I3" s="358"/>
      <c r="J3" s="358"/>
      <c r="K3" s="410" t="s">
        <v>58</v>
      </c>
      <c r="L3" s="411"/>
      <c r="M3" s="411"/>
      <c r="N3" s="412"/>
      <c r="O3" s="411" t="s">
        <v>59</v>
      </c>
      <c r="P3" s="412"/>
      <c r="Q3" s="358"/>
      <c r="R3" s="358"/>
      <c r="S3" s="415">
        <f ca="1">+TODAY()</f>
        <v>43292</v>
      </c>
      <c r="T3" s="416"/>
      <c r="U3" s="416"/>
    </row>
    <row r="4" spans="8:32" ht="34.5">
      <c r="H4" s="357"/>
      <c r="I4" s="360" t="s">
        <v>11</v>
      </c>
      <c r="J4" s="360" t="s">
        <v>3</v>
      </c>
      <c r="K4" s="361" t="s">
        <v>23</v>
      </c>
      <c r="L4" s="361" t="s">
        <v>77</v>
      </c>
      <c r="M4" s="364" t="s">
        <v>23</v>
      </c>
      <c r="N4" s="364" t="s">
        <v>250</v>
      </c>
      <c r="O4" s="363" t="s">
        <v>23</v>
      </c>
      <c r="P4" s="363" t="s">
        <v>251</v>
      </c>
      <c r="Q4" s="364" t="s">
        <v>252</v>
      </c>
      <c r="R4" s="365" t="s">
        <v>60</v>
      </c>
      <c r="S4" s="366"/>
      <c r="T4" s="357"/>
      <c r="U4" s="357"/>
    </row>
    <row r="5" spans="8:32">
      <c r="H5" s="357"/>
      <c r="I5" s="16" t="s">
        <v>61</v>
      </c>
      <c r="J5" s="349" t="s">
        <v>62</v>
      </c>
      <c r="K5" s="18"/>
      <c r="L5" s="184">
        <f>+K5*3</f>
        <v>0</v>
      </c>
      <c r="M5" s="117"/>
      <c r="N5" s="23">
        <v>0</v>
      </c>
      <c r="O5" s="330"/>
      <c r="P5" s="331"/>
      <c r="Q5" s="210"/>
      <c r="R5" s="211">
        <f>+L5+N5+P5+Q5</f>
        <v>0</v>
      </c>
      <c r="S5" s="7"/>
      <c r="T5" s="137">
        <v>968</v>
      </c>
      <c r="U5" s="182">
        <v>125.45</v>
      </c>
      <c r="V5" s="139">
        <v>842.55</v>
      </c>
      <c r="W5" s="280" t="s">
        <v>231</v>
      </c>
      <c r="Y5" s="289" t="s">
        <v>234</v>
      </c>
      <c r="Z5" s="169"/>
      <c r="AA5" s="169"/>
      <c r="AB5" s="169"/>
      <c r="AC5" s="169" t="s">
        <v>229</v>
      </c>
      <c r="AD5" s="169" t="s">
        <v>213</v>
      </c>
      <c r="AE5" s="169"/>
      <c r="AF5" s="169"/>
    </row>
    <row r="6" spans="8:32">
      <c r="H6" s="357"/>
      <c r="I6" s="372" t="s">
        <v>4</v>
      </c>
      <c r="J6" s="350" t="s">
        <v>12</v>
      </c>
      <c r="K6" s="18"/>
      <c r="L6" s="185">
        <f>+K6*3</f>
        <v>0</v>
      </c>
      <c r="M6" s="22"/>
      <c r="N6" s="23">
        <v>0</v>
      </c>
      <c r="O6" s="330"/>
      <c r="P6" s="331"/>
      <c r="Q6" s="196"/>
      <c r="R6" s="209">
        <f t="shared" ref="R6:R41" si="0">+L6+N6+P6+Q6</f>
        <v>0</v>
      </c>
      <c r="S6" s="7"/>
      <c r="T6" s="140">
        <f>+U6+V6</f>
        <v>827.2031333452021</v>
      </c>
      <c r="U6" s="284">
        <f>+U5*V6/V5</f>
        <v>107.20313334520208</v>
      </c>
      <c r="V6" s="141">
        <v>720</v>
      </c>
      <c r="W6" s="161"/>
      <c r="Y6" s="169" t="s">
        <v>228</v>
      </c>
      <c r="Z6" s="169" t="s">
        <v>227</v>
      </c>
      <c r="AA6" s="169"/>
      <c r="AB6" s="169"/>
      <c r="AC6" s="169" t="s">
        <v>226</v>
      </c>
      <c r="AD6" s="169" t="s">
        <v>213</v>
      </c>
      <c r="AE6" s="169"/>
      <c r="AF6" s="169"/>
    </row>
    <row r="7" spans="8:32">
      <c r="H7" s="357"/>
      <c r="I7" s="113" t="s">
        <v>1</v>
      </c>
      <c r="J7" s="351" t="s">
        <v>56</v>
      </c>
      <c r="K7" s="120"/>
      <c r="L7" s="215">
        <f>+K7*3</f>
        <v>0</v>
      </c>
      <c r="M7" s="117"/>
      <c r="N7" s="31">
        <v>0</v>
      </c>
      <c r="O7" s="332"/>
      <c r="P7" s="333">
        <f>IF(O7&gt;25,150,(O7)*6)</f>
        <v>0</v>
      </c>
      <c r="Q7" s="196"/>
      <c r="R7" s="23">
        <f t="shared" si="0"/>
        <v>0</v>
      </c>
      <c r="S7" s="7"/>
      <c r="T7" s="142">
        <f>+T5-T6</f>
        <v>140.7968666547979</v>
      </c>
      <c r="U7" s="183"/>
      <c r="V7" s="143"/>
      <c r="W7" s="4" t="s">
        <v>145</v>
      </c>
      <c r="Y7" s="169" t="s">
        <v>225</v>
      </c>
      <c r="Z7" s="169" t="s">
        <v>224</v>
      </c>
      <c r="AA7" s="169" t="s">
        <v>223</v>
      </c>
      <c r="AB7" s="169">
        <v>43256</v>
      </c>
      <c r="AC7" s="169" t="s">
        <v>222</v>
      </c>
      <c r="AD7" s="169">
        <v>2018</v>
      </c>
      <c r="AE7" s="169"/>
      <c r="AF7" s="169"/>
    </row>
    <row r="8" spans="8:32">
      <c r="H8" s="357"/>
      <c r="I8" s="113" t="s">
        <v>2</v>
      </c>
      <c r="J8" s="351" t="s">
        <v>47</v>
      </c>
      <c r="K8" s="115"/>
      <c r="L8" s="215"/>
      <c r="M8" s="117"/>
      <c r="N8" s="31">
        <f>+M8*3</f>
        <v>0</v>
      </c>
      <c r="O8" s="332">
        <v>28</v>
      </c>
      <c r="P8" s="333">
        <f>IF(O8&gt;25,150,(O8)*6)</f>
        <v>150</v>
      </c>
      <c r="Q8" s="195"/>
      <c r="R8" s="228">
        <f t="shared" si="0"/>
        <v>150</v>
      </c>
      <c r="S8" s="7"/>
      <c r="T8" s="144">
        <v>150</v>
      </c>
      <c r="U8" s="163">
        <f>+T8-T7</f>
        <v>9.2031333452021045</v>
      </c>
      <c r="V8" s="164" t="s">
        <v>232</v>
      </c>
      <c r="W8" s="9">
        <f>150-U8</f>
        <v>140.7968666547979</v>
      </c>
      <c r="Y8" s="169" t="s">
        <v>221</v>
      </c>
      <c r="Z8" s="169" t="s">
        <v>220</v>
      </c>
      <c r="AA8" s="169" t="s">
        <v>219</v>
      </c>
      <c r="AB8" s="169" t="s">
        <v>218</v>
      </c>
      <c r="AC8" s="169" t="s">
        <v>217</v>
      </c>
      <c r="AD8" s="169">
        <v>43348</v>
      </c>
      <c r="AE8" s="169"/>
      <c r="AF8" s="169"/>
    </row>
    <row r="9" spans="8:32">
      <c r="H9" s="357"/>
      <c r="I9" s="372" t="s">
        <v>0</v>
      </c>
      <c r="J9" s="350" t="s">
        <v>7</v>
      </c>
      <c r="K9" s="18"/>
      <c r="L9" s="213">
        <f>+K9*5</f>
        <v>0</v>
      </c>
      <c r="M9" s="22"/>
      <c r="N9" s="23">
        <f>5*M9</f>
        <v>0</v>
      </c>
      <c r="O9" s="330"/>
      <c r="P9" s="331">
        <v>0</v>
      </c>
      <c r="Q9" s="196"/>
      <c r="R9" s="23">
        <f t="shared" si="0"/>
        <v>0</v>
      </c>
      <c r="S9" s="7"/>
      <c r="T9" s="26"/>
      <c r="W9" s="162"/>
      <c r="Y9" s="267" t="s">
        <v>216</v>
      </c>
      <c r="Z9" s="267" t="s">
        <v>215</v>
      </c>
      <c r="AA9" s="267" t="s">
        <v>214</v>
      </c>
      <c r="AB9" s="267" t="s">
        <v>213</v>
      </c>
      <c r="AC9" s="267" t="s">
        <v>212</v>
      </c>
      <c r="AD9" s="267" t="s">
        <v>211</v>
      </c>
      <c r="AE9" s="267"/>
      <c r="AF9" s="267"/>
    </row>
    <row r="10" spans="8:32" ht="17.25" thickBot="1">
      <c r="H10" s="357"/>
      <c r="I10" s="372" t="s">
        <v>5</v>
      </c>
      <c r="J10" s="352" t="s">
        <v>71</v>
      </c>
      <c r="K10" s="18"/>
      <c r="L10" s="213">
        <f>+K10*3</f>
        <v>0</v>
      </c>
      <c r="M10" s="373"/>
      <c r="N10" s="31">
        <f>+M10*3</f>
        <v>0</v>
      </c>
      <c r="O10" s="334"/>
      <c r="P10" s="333">
        <f t="shared" ref="P10:P28" si="1">IF(O10&gt;25,150,(O10)*6)</f>
        <v>0</v>
      </c>
      <c r="Q10" s="196"/>
      <c r="R10" s="228">
        <f t="shared" si="0"/>
        <v>0</v>
      </c>
      <c r="S10" s="7"/>
      <c r="T10" s="137">
        <v>828</v>
      </c>
      <c r="U10" s="182">
        <v>107.64</v>
      </c>
      <c r="V10" s="139">
        <v>720.36</v>
      </c>
      <c r="W10" s="280" t="s">
        <v>74</v>
      </c>
      <c r="Y10" s="265" t="s">
        <v>210</v>
      </c>
      <c r="Z10" s="265" t="s">
        <v>209</v>
      </c>
      <c r="AA10" s="266" t="s">
        <v>208</v>
      </c>
      <c r="AB10" s="266" t="s">
        <v>207</v>
      </c>
      <c r="AC10" s="266" t="s">
        <v>206</v>
      </c>
      <c r="AD10" s="266" t="s">
        <v>205</v>
      </c>
      <c r="AE10" s="266" t="s">
        <v>204</v>
      </c>
      <c r="AF10" s="266" t="s">
        <v>203</v>
      </c>
    </row>
    <row r="11" spans="8:32">
      <c r="H11" s="357"/>
      <c r="I11" s="372" t="s">
        <v>27</v>
      </c>
      <c r="J11" s="352" t="s">
        <v>28</v>
      </c>
      <c r="K11" s="18"/>
      <c r="L11" s="213">
        <v>0</v>
      </c>
      <c r="M11" s="373"/>
      <c r="N11" s="31">
        <v>0</v>
      </c>
      <c r="O11" s="334"/>
      <c r="P11" s="333">
        <f t="shared" si="1"/>
        <v>0</v>
      </c>
      <c r="Q11" s="195"/>
      <c r="R11" s="31">
        <f t="shared" si="0"/>
        <v>0</v>
      </c>
      <c r="S11" s="7"/>
      <c r="T11" s="140">
        <f>+U11+V11</f>
        <v>827.58620689655174</v>
      </c>
      <c r="U11" s="284">
        <f>+U10*V11/V10</f>
        <v>107.58620689655173</v>
      </c>
      <c r="V11" s="141">
        <v>720</v>
      </c>
      <c r="W11" s="162"/>
      <c r="Y11" s="240" t="s">
        <v>202</v>
      </c>
      <c r="Z11" s="10" t="s">
        <v>201</v>
      </c>
      <c r="AA11" s="232">
        <v>43102</v>
      </c>
      <c r="AB11" s="239">
        <v>444</v>
      </c>
      <c r="AC11" s="281">
        <v>674</v>
      </c>
      <c r="AD11" s="239">
        <v>87.62</v>
      </c>
      <c r="AE11" s="239">
        <v>586.38</v>
      </c>
      <c r="AF11" s="238">
        <f t="shared" ref="AF11:AF26" si="2">720-AE11</f>
        <v>133.62</v>
      </c>
    </row>
    <row r="12" spans="8:32">
      <c r="H12" s="357"/>
      <c r="I12" s="372" t="s">
        <v>8</v>
      </c>
      <c r="J12" s="352" t="s">
        <v>29</v>
      </c>
      <c r="K12" s="35"/>
      <c r="L12" s="213"/>
      <c r="M12" s="373"/>
      <c r="N12" s="31">
        <v>0</v>
      </c>
      <c r="O12" s="334"/>
      <c r="P12" s="333">
        <f t="shared" si="1"/>
        <v>0</v>
      </c>
      <c r="Q12" s="195"/>
      <c r="R12" s="228">
        <f t="shared" si="0"/>
        <v>0</v>
      </c>
      <c r="S12" s="7"/>
      <c r="T12" s="142">
        <f>+T10-T11</f>
        <v>0.41379310344825626</v>
      </c>
      <c r="U12" s="183"/>
      <c r="V12" s="143"/>
      <c r="W12" s="4" t="s">
        <v>145</v>
      </c>
      <c r="Y12" s="240" t="s">
        <v>200</v>
      </c>
      <c r="Z12" s="10" t="s">
        <v>199</v>
      </c>
      <c r="AA12" s="232">
        <v>42837</v>
      </c>
      <c r="AB12" s="239">
        <v>204</v>
      </c>
      <c r="AC12" s="281">
        <v>344.8</v>
      </c>
      <c r="AD12" s="239">
        <v>44.82</v>
      </c>
      <c r="AE12" s="239">
        <v>299.98</v>
      </c>
      <c r="AF12" s="238">
        <f t="shared" si="2"/>
        <v>420.02</v>
      </c>
    </row>
    <row r="13" spans="8:32">
      <c r="H13" s="357"/>
      <c r="I13" s="372" t="s">
        <v>63</v>
      </c>
      <c r="J13" s="352" t="s">
        <v>33</v>
      </c>
      <c r="K13" s="35"/>
      <c r="L13" s="213"/>
      <c r="M13" s="373"/>
      <c r="N13" s="31">
        <f>+M13*3</f>
        <v>0</v>
      </c>
      <c r="O13" s="334">
        <v>32</v>
      </c>
      <c r="P13" s="333">
        <f t="shared" si="1"/>
        <v>150</v>
      </c>
      <c r="Q13" s="195"/>
      <c r="R13" s="228">
        <f t="shared" si="0"/>
        <v>150</v>
      </c>
      <c r="S13" s="7"/>
      <c r="T13" s="144">
        <v>150</v>
      </c>
      <c r="U13" s="163">
        <f>+T13-T12</f>
        <v>149.58620689655174</v>
      </c>
      <c r="V13" s="164" t="s">
        <v>232</v>
      </c>
      <c r="W13" s="9">
        <f>150-U13</f>
        <v>0.41379310344825626</v>
      </c>
      <c r="Y13" s="240" t="s">
        <v>198</v>
      </c>
      <c r="Z13" s="10" t="s">
        <v>143</v>
      </c>
      <c r="AA13" s="232">
        <v>42837</v>
      </c>
      <c r="AB13" s="239">
        <v>540</v>
      </c>
      <c r="AC13" s="281">
        <v>786</v>
      </c>
      <c r="AD13" s="239">
        <v>102.18</v>
      </c>
      <c r="AE13" s="239">
        <v>683.82</v>
      </c>
      <c r="AF13" s="238">
        <f t="shared" si="2"/>
        <v>36.17999999999995</v>
      </c>
    </row>
    <row r="14" spans="8:32">
      <c r="H14" s="357"/>
      <c r="I14" s="372" t="s">
        <v>24</v>
      </c>
      <c r="J14" s="352" t="s">
        <v>30</v>
      </c>
      <c r="K14" s="18"/>
      <c r="L14" s="213">
        <v>0</v>
      </c>
      <c r="M14" s="373"/>
      <c r="N14" s="31">
        <v>0</v>
      </c>
      <c r="O14" s="334">
        <v>26</v>
      </c>
      <c r="P14" s="333">
        <f t="shared" si="1"/>
        <v>150</v>
      </c>
      <c r="Q14" s="195"/>
      <c r="R14" s="228">
        <f t="shared" si="0"/>
        <v>150</v>
      </c>
      <c r="S14" s="7"/>
      <c r="T14" s="26"/>
      <c r="W14" s="162"/>
      <c r="Y14" s="240" t="s">
        <v>197</v>
      </c>
      <c r="Z14" s="10" t="s">
        <v>196</v>
      </c>
      <c r="AA14" s="232">
        <v>42046</v>
      </c>
      <c r="AB14" s="239">
        <v>274.27999999999997</v>
      </c>
      <c r="AC14" s="281">
        <v>323.58999999999997</v>
      </c>
      <c r="AD14" s="239">
        <v>42.07</v>
      </c>
      <c r="AE14" s="239">
        <v>281.52</v>
      </c>
      <c r="AF14" s="238">
        <f t="shared" si="2"/>
        <v>438.48</v>
      </c>
    </row>
    <row r="15" spans="8:32">
      <c r="H15" s="357"/>
      <c r="I15" s="372" t="s">
        <v>18</v>
      </c>
      <c r="J15" s="350" t="s">
        <v>72</v>
      </c>
      <c r="K15" s="18"/>
      <c r="L15" s="213">
        <f>+K15*3</f>
        <v>0</v>
      </c>
      <c r="M15" s="373"/>
      <c r="N15" s="31">
        <f>+M15*3</f>
        <v>0</v>
      </c>
      <c r="O15" s="334"/>
      <c r="P15" s="333">
        <f t="shared" si="1"/>
        <v>0</v>
      </c>
      <c r="Q15" s="196"/>
      <c r="R15" s="31">
        <f t="shared" si="0"/>
        <v>0</v>
      </c>
      <c r="S15" s="7"/>
      <c r="T15" s="137">
        <v>884</v>
      </c>
      <c r="U15" s="182">
        <v>114.92</v>
      </c>
      <c r="V15" s="139">
        <v>769.08</v>
      </c>
      <c r="W15" s="280" t="s">
        <v>51</v>
      </c>
      <c r="Y15" s="240" t="s">
        <v>195</v>
      </c>
      <c r="Z15" s="10" t="s">
        <v>194</v>
      </c>
      <c r="AA15" s="232">
        <v>42801</v>
      </c>
      <c r="AB15" s="239">
        <v>144</v>
      </c>
      <c r="AC15" s="281">
        <v>243.6</v>
      </c>
      <c r="AD15" s="239">
        <v>31.67</v>
      </c>
      <c r="AE15" s="239">
        <v>211.93</v>
      </c>
      <c r="AF15" s="238">
        <f t="shared" si="2"/>
        <v>508.07</v>
      </c>
    </row>
    <row r="16" spans="8:32">
      <c r="H16" s="357"/>
      <c r="I16" s="372" t="s">
        <v>31</v>
      </c>
      <c r="J16" s="352" t="s">
        <v>32</v>
      </c>
      <c r="K16" s="35"/>
      <c r="L16" s="213"/>
      <c r="M16" s="373"/>
      <c r="N16" s="31">
        <f t="shared" ref="N16:N26" si="3">+M16*3</f>
        <v>0</v>
      </c>
      <c r="O16" s="334">
        <v>1</v>
      </c>
      <c r="P16" s="333">
        <f t="shared" si="1"/>
        <v>6</v>
      </c>
      <c r="Q16" s="195"/>
      <c r="R16" s="228">
        <f t="shared" si="0"/>
        <v>6</v>
      </c>
      <c r="S16" s="7"/>
      <c r="T16" s="140">
        <f>+U16+V16</f>
        <v>827.58620689655174</v>
      </c>
      <c r="U16" s="284">
        <f>+U15*V16/V15</f>
        <v>107.58620689655172</v>
      </c>
      <c r="V16" s="141">
        <v>720</v>
      </c>
      <c r="W16" s="162"/>
      <c r="Y16" s="240" t="s">
        <v>193</v>
      </c>
      <c r="Z16" s="10" t="s">
        <v>192</v>
      </c>
      <c r="AA16" s="232">
        <v>42499</v>
      </c>
      <c r="AB16" s="239">
        <v>12</v>
      </c>
      <c r="AC16" s="281">
        <v>21.2</v>
      </c>
      <c r="AD16" s="239">
        <v>2.76</v>
      </c>
      <c r="AE16" s="239">
        <v>18.440000000000001</v>
      </c>
      <c r="AF16" s="238">
        <f t="shared" si="2"/>
        <v>701.56</v>
      </c>
    </row>
    <row r="17" spans="1:32">
      <c r="H17" s="357"/>
      <c r="I17" s="372" t="s">
        <v>54</v>
      </c>
      <c r="J17" s="352" t="s">
        <v>55</v>
      </c>
      <c r="K17" s="18"/>
      <c r="L17" s="213">
        <f>+K17*3</f>
        <v>0</v>
      </c>
      <c r="M17" s="373"/>
      <c r="N17" s="31">
        <f t="shared" si="3"/>
        <v>0</v>
      </c>
      <c r="O17" s="334"/>
      <c r="P17" s="333">
        <f t="shared" si="1"/>
        <v>0</v>
      </c>
      <c r="Q17" s="195"/>
      <c r="R17" s="31">
        <f t="shared" si="0"/>
        <v>0</v>
      </c>
      <c r="S17" s="7"/>
      <c r="T17" s="142">
        <f>+T15-T16</f>
        <v>56.413793103448256</v>
      </c>
      <c r="U17" s="183"/>
      <c r="V17" s="143"/>
      <c r="W17" s="4" t="s">
        <v>145</v>
      </c>
      <c r="Y17" s="245" t="s">
        <v>191</v>
      </c>
      <c r="Z17" s="244" t="s">
        <v>190</v>
      </c>
      <c r="AA17" s="243">
        <v>42046</v>
      </c>
      <c r="AB17" s="242">
        <v>696</v>
      </c>
      <c r="AC17" s="282">
        <v>968</v>
      </c>
      <c r="AD17" s="242">
        <v>125.45</v>
      </c>
      <c r="AE17" s="241">
        <v>842.55</v>
      </c>
      <c r="AF17" s="319">
        <f t="shared" si="2"/>
        <v>-122.54999999999995</v>
      </c>
    </row>
    <row r="18" spans="1:32">
      <c r="H18" s="357"/>
      <c r="I18" s="113" t="s">
        <v>10</v>
      </c>
      <c r="J18" s="351" t="s">
        <v>34</v>
      </c>
      <c r="K18" s="115"/>
      <c r="L18" s="215"/>
      <c r="M18" s="117"/>
      <c r="N18" s="31">
        <f t="shared" si="3"/>
        <v>0</v>
      </c>
      <c r="O18" s="332">
        <v>23</v>
      </c>
      <c r="P18" s="333">
        <f t="shared" si="1"/>
        <v>138</v>
      </c>
      <c r="Q18" s="195"/>
      <c r="R18" s="228">
        <f t="shared" si="0"/>
        <v>138</v>
      </c>
      <c r="S18" s="7"/>
      <c r="T18" s="144">
        <v>150</v>
      </c>
      <c r="U18" s="163">
        <f>+T18-T17+0.01</f>
        <v>93.596206896551749</v>
      </c>
      <c r="V18" s="164" t="s">
        <v>232</v>
      </c>
      <c r="W18" s="9">
        <f>150-U18</f>
        <v>56.403793103448251</v>
      </c>
      <c r="Y18" s="240" t="s">
        <v>189</v>
      </c>
      <c r="Z18" s="10" t="s">
        <v>188</v>
      </c>
      <c r="AA18" s="232">
        <v>43347</v>
      </c>
      <c r="AB18" s="239">
        <v>432</v>
      </c>
      <c r="AC18" s="281">
        <v>660</v>
      </c>
      <c r="AD18" s="239">
        <v>85.8</v>
      </c>
      <c r="AE18" s="239">
        <v>574.20000000000005</v>
      </c>
      <c r="AF18" s="238">
        <f t="shared" si="2"/>
        <v>145.79999999999995</v>
      </c>
    </row>
    <row r="19" spans="1:32">
      <c r="H19" s="375"/>
      <c r="I19" s="113" t="s">
        <v>9</v>
      </c>
      <c r="J19" s="351" t="s">
        <v>35</v>
      </c>
      <c r="K19" s="115"/>
      <c r="L19" s="116"/>
      <c r="M19" s="117"/>
      <c r="N19" s="31">
        <f t="shared" si="3"/>
        <v>0</v>
      </c>
      <c r="O19" s="117">
        <v>34</v>
      </c>
      <c r="P19" s="31">
        <f t="shared" si="1"/>
        <v>150</v>
      </c>
      <c r="Q19" s="195"/>
      <c r="R19" s="228">
        <f t="shared" si="0"/>
        <v>150</v>
      </c>
      <c r="S19" s="7"/>
      <c r="T19" s="26"/>
      <c r="W19" s="162"/>
      <c r="Y19" s="240" t="s">
        <v>187</v>
      </c>
      <c r="Z19" s="10" t="s">
        <v>186</v>
      </c>
      <c r="AA19" s="232">
        <v>42837</v>
      </c>
      <c r="AB19" s="239">
        <v>504</v>
      </c>
      <c r="AC19" s="281">
        <v>744</v>
      </c>
      <c r="AD19" s="239">
        <v>91.22</v>
      </c>
      <c r="AE19" s="239">
        <v>652.78</v>
      </c>
      <c r="AF19" s="238">
        <f t="shared" si="2"/>
        <v>67.220000000000027</v>
      </c>
    </row>
    <row r="20" spans="1:32">
      <c r="H20" s="375"/>
      <c r="I20" s="113" t="s">
        <v>36</v>
      </c>
      <c r="J20" s="351" t="s">
        <v>37</v>
      </c>
      <c r="K20" s="115"/>
      <c r="L20" s="116"/>
      <c r="M20" s="117"/>
      <c r="N20" s="31">
        <f t="shared" si="3"/>
        <v>0</v>
      </c>
      <c r="O20" s="117">
        <v>24</v>
      </c>
      <c r="P20" s="31">
        <f t="shared" si="1"/>
        <v>144</v>
      </c>
      <c r="Q20" s="195"/>
      <c r="R20" s="228">
        <f t="shared" si="0"/>
        <v>144</v>
      </c>
      <c r="S20" s="7"/>
      <c r="T20" s="268"/>
      <c r="U20" s="269"/>
      <c r="V20" s="270"/>
      <c r="W20" s="271"/>
      <c r="Y20" s="240" t="s">
        <v>185</v>
      </c>
      <c r="Z20" s="10" t="s">
        <v>184</v>
      </c>
      <c r="AA20" s="232">
        <v>42125</v>
      </c>
      <c r="AB20" s="239">
        <v>432</v>
      </c>
      <c r="AC20" s="281">
        <v>660</v>
      </c>
      <c r="AD20" s="239">
        <v>80.92</v>
      </c>
      <c r="AE20" s="239">
        <v>579.08000000000004</v>
      </c>
      <c r="AF20" s="238">
        <f t="shared" si="2"/>
        <v>140.91999999999996</v>
      </c>
    </row>
    <row r="21" spans="1:32">
      <c r="H21" s="357"/>
      <c r="I21" s="372" t="s">
        <v>64</v>
      </c>
      <c r="J21" s="352" t="s">
        <v>65</v>
      </c>
      <c r="K21" s="35"/>
      <c r="L21" s="213"/>
      <c r="M21" s="373"/>
      <c r="N21" s="31">
        <v>0</v>
      </c>
      <c r="O21" s="334">
        <v>26</v>
      </c>
      <c r="P21" s="333">
        <f t="shared" si="1"/>
        <v>150</v>
      </c>
      <c r="Q21" s="195"/>
      <c r="R21" s="228">
        <f t="shared" si="0"/>
        <v>150</v>
      </c>
      <c r="S21" s="7"/>
      <c r="T21" s="268"/>
      <c r="U21" s="269"/>
      <c r="V21" s="272"/>
      <c r="W21" s="273"/>
      <c r="Y21" s="245" t="s">
        <v>183</v>
      </c>
      <c r="Z21" s="244" t="s">
        <v>74</v>
      </c>
      <c r="AA21" s="243">
        <v>42499</v>
      </c>
      <c r="AB21" s="242">
        <v>576</v>
      </c>
      <c r="AC21" s="282">
        <v>828</v>
      </c>
      <c r="AD21" s="242">
        <v>107.64</v>
      </c>
      <c r="AE21" s="241">
        <v>720.36</v>
      </c>
      <c r="AF21" s="319">
        <f t="shared" si="2"/>
        <v>-0.36000000000001364</v>
      </c>
    </row>
    <row r="22" spans="1:32">
      <c r="H22" s="357"/>
      <c r="I22" s="372" t="s">
        <v>13</v>
      </c>
      <c r="J22" s="352" t="s">
        <v>38</v>
      </c>
      <c r="K22" s="35"/>
      <c r="L22" s="213"/>
      <c r="M22" s="373"/>
      <c r="N22" s="31">
        <f t="shared" si="3"/>
        <v>0</v>
      </c>
      <c r="O22" s="334">
        <v>29</v>
      </c>
      <c r="P22" s="333">
        <f t="shared" si="1"/>
        <v>150</v>
      </c>
      <c r="Q22" s="195"/>
      <c r="R22" s="228">
        <f t="shared" si="0"/>
        <v>150</v>
      </c>
      <c r="S22" s="7"/>
      <c r="T22" s="274"/>
      <c r="U22" s="269"/>
      <c r="V22" s="270"/>
      <c r="W22" s="275"/>
      <c r="Y22" s="245" t="s">
        <v>182</v>
      </c>
      <c r="Z22" s="244" t="s">
        <v>51</v>
      </c>
      <c r="AA22" s="243">
        <v>42375</v>
      </c>
      <c r="AB22" s="242">
        <v>624</v>
      </c>
      <c r="AC22" s="282">
        <v>884</v>
      </c>
      <c r="AD22" s="242">
        <v>114.92</v>
      </c>
      <c r="AE22" s="241">
        <v>769.08</v>
      </c>
      <c r="AF22" s="319">
        <f t="shared" si="2"/>
        <v>-49.080000000000041</v>
      </c>
    </row>
    <row r="23" spans="1:32">
      <c r="H23" s="357"/>
      <c r="I23" s="372" t="s">
        <v>39</v>
      </c>
      <c r="J23" s="352" t="s">
        <v>40</v>
      </c>
      <c r="K23" s="35"/>
      <c r="L23" s="213"/>
      <c r="M23" s="373"/>
      <c r="N23" s="31">
        <f t="shared" si="3"/>
        <v>0</v>
      </c>
      <c r="O23" s="334"/>
      <c r="P23" s="333">
        <f t="shared" si="1"/>
        <v>0</v>
      </c>
      <c r="Q23" s="195"/>
      <c r="R23" s="31">
        <f t="shared" si="0"/>
        <v>0</v>
      </c>
      <c r="S23" s="7"/>
      <c r="T23" s="268"/>
      <c r="U23" s="276"/>
      <c r="V23" s="277"/>
      <c r="W23" s="276"/>
      <c r="Y23" s="240" t="s">
        <v>181</v>
      </c>
      <c r="Z23" s="10" t="s">
        <v>180</v>
      </c>
      <c r="AA23" s="232">
        <v>42375</v>
      </c>
      <c r="AB23" s="239">
        <v>492</v>
      </c>
      <c r="AC23" s="281">
        <v>730</v>
      </c>
      <c r="AD23" s="239">
        <v>94.9</v>
      </c>
      <c r="AE23" s="239">
        <v>635.1</v>
      </c>
      <c r="AF23" s="238">
        <f t="shared" si="2"/>
        <v>84.899999999999977</v>
      </c>
    </row>
    <row r="24" spans="1:32">
      <c r="H24" s="357"/>
      <c r="I24" s="372" t="s">
        <v>41</v>
      </c>
      <c r="J24" s="352" t="s">
        <v>42</v>
      </c>
      <c r="K24" s="35"/>
      <c r="L24" s="213"/>
      <c r="M24" s="373"/>
      <c r="N24" s="31">
        <f t="shared" si="3"/>
        <v>0</v>
      </c>
      <c r="O24" s="334">
        <v>37</v>
      </c>
      <c r="P24" s="333">
        <f t="shared" si="1"/>
        <v>150</v>
      </c>
      <c r="Q24" s="195"/>
      <c r="R24" s="228">
        <f t="shared" si="0"/>
        <v>150</v>
      </c>
      <c r="S24" s="7"/>
      <c r="T24" s="268"/>
      <c r="U24" s="269"/>
      <c r="V24" s="270"/>
      <c r="W24" s="275"/>
      <c r="Y24" s="240" t="s">
        <v>179</v>
      </c>
      <c r="Z24" s="10" t="s">
        <v>49</v>
      </c>
      <c r="AA24" s="232">
        <v>42897</v>
      </c>
      <c r="AB24" s="239">
        <v>12</v>
      </c>
      <c r="AC24" s="281">
        <v>21.2</v>
      </c>
      <c r="AD24" s="239">
        <v>2.64</v>
      </c>
      <c r="AE24" s="239">
        <v>18.559999999999999</v>
      </c>
      <c r="AF24" s="238">
        <f t="shared" si="2"/>
        <v>701.44</v>
      </c>
    </row>
    <row r="25" spans="1:32">
      <c r="H25" s="357"/>
      <c r="I25" s="372" t="s">
        <v>26</v>
      </c>
      <c r="J25" s="352" t="s">
        <v>48</v>
      </c>
      <c r="K25" s="18"/>
      <c r="L25" s="213">
        <v>0</v>
      </c>
      <c r="M25" s="373"/>
      <c r="N25" s="31">
        <f t="shared" si="3"/>
        <v>0</v>
      </c>
      <c r="O25" s="334">
        <v>1</v>
      </c>
      <c r="P25" s="333">
        <f t="shared" si="1"/>
        <v>6</v>
      </c>
      <c r="Q25" s="195"/>
      <c r="R25" s="228">
        <f>+L25+N28+P25+Q25</f>
        <v>6</v>
      </c>
      <c r="S25" s="7"/>
      <c r="T25" s="268"/>
      <c r="U25" s="269"/>
      <c r="V25" s="270"/>
      <c r="W25" s="271"/>
      <c r="Y25" s="240" t="s">
        <v>178</v>
      </c>
      <c r="Z25" s="10" t="s">
        <v>177</v>
      </c>
      <c r="AA25" s="232" t="s">
        <v>176</v>
      </c>
      <c r="AB25" s="239">
        <v>444</v>
      </c>
      <c r="AC25" s="281">
        <v>674</v>
      </c>
      <c r="AD25" s="239">
        <v>87.62</v>
      </c>
      <c r="AE25" s="239">
        <v>586.38</v>
      </c>
      <c r="AF25" s="238">
        <f t="shared" si="2"/>
        <v>133.62</v>
      </c>
    </row>
    <row r="26" spans="1:32">
      <c r="H26" s="357"/>
      <c r="I26" s="372" t="s">
        <v>67</v>
      </c>
      <c r="J26" s="350" t="s">
        <v>68</v>
      </c>
      <c r="K26" s="18"/>
      <c r="L26" s="213">
        <v>0</v>
      </c>
      <c r="M26" s="22"/>
      <c r="N26" s="31">
        <f t="shared" si="3"/>
        <v>0</v>
      </c>
      <c r="O26" s="330"/>
      <c r="P26" s="333">
        <f t="shared" si="1"/>
        <v>0</v>
      </c>
      <c r="Q26" s="196"/>
      <c r="R26" s="31">
        <f t="shared" si="0"/>
        <v>0</v>
      </c>
      <c r="S26" s="7"/>
      <c r="T26" s="268"/>
      <c r="U26" s="269"/>
      <c r="V26" s="272"/>
      <c r="W26" s="275"/>
      <c r="Y26" s="240" t="s">
        <v>175</v>
      </c>
      <c r="Z26" s="10" t="s">
        <v>57</v>
      </c>
      <c r="AA26" s="232">
        <v>42889</v>
      </c>
      <c r="AB26" s="239">
        <v>528</v>
      </c>
      <c r="AC26" s="281">
        <v>772</v>
      </c>
      <c r="AD26" s="239">
        <v>90.63</v>
      </c>
      <c r="AE26" s="239">
        <v>681.37</v>
      </c>
      <c r="AF26" s="238">
        <f t="shared" si="2"/>
        <v>38.629999999999995</v>
      </c>
    </row>
    <row r="27" spans="1:32">
      <c r="H27" s="355" t="s">
        <v>84</v>
      </c>
      <c r="I27" s="83" t="s">
        <v>21</v>
      </c>
      <c r="J27" s="82" t="s">
        <v>152</v>
      </c>
      <c r="K27" s="85"/>
      <c r="L27" s="217">
        <v>0</v>
      </c>
      <c r="M27" s="367"/>
      <c r="N27" s="206">
        <v>0</v>
      </c>
      <c r="O27" s="88">
        <v>28</v>
      </c>
      <c r="P27" s="89">
        <f t="shared" si="1"/>
        <v>150</v>
      </c>
      <c r="Q27" s="197"/>
      <c r="R27" s="376">
        <f t="shared" si="0"/>
        <v>150</v>
      </c>
      <c r="S27" s="7"/>
      <c r="T27" s="274"/>
      <c r="U27" s="269"/>
      <c r="V27" s="270"/>
      <c r="W27" s="278"/>
      <c r="Y27" s="130"/>
      <c r="Z27" s="237"/>
      <c r="AA27" s="236"/>
      <c r="AB27" s="235">
        <f>SUM(AB11:AB26)</f>
        <v>6358.28</v>
      </c>
      <c r="AC27" s="283">
        <f>SUM(AC11:AC26)</f>
        <v>9334.39</v>
      </c>
      <c r="AD27" s="235">
        <f>SUM(AD11:AD26)</f>
        <v>1192.8600000000001</v>
      </c>
      <c r="AE27" s="235">
        <f>SUM(AE11:AE26)</f>
        <v>8141.53</v>
      </c>
      <c r="AF27" s="234"/>
    </row>
    <row r="28" spans="1:32">
      <c r="H28" s="375"/>
      <c r="I28" s="113" t="s">
        <v>43</v>
      </c>
      <c r="J28" s="351" t="s">
        <v>73</v>
      </c>
      <c r="K28" s="115"/>
      <c r="L28" s="116">
        <v>0</v>
      </c>
      <c r="M28" s="117"/>
      <c r="N28" s="31">
        <f>+M25*3</f>
        <v>0</v>
      </c>
      <c r="O28" s="117">
        <v>32</v>
      </c>
      <c r="P28" s="31">
        <f t="shared" si="1"/>
        <v>150</v>
      </c>
      <c r="Q28" s="195"/>
      <c r="R28" s="228">
        <f>+L28+N30+P28+Q28</f>
        <v>150</v>
      </c>
      <c r="S28" s="7"/>
      <c r="T28" s="268"/>
      <c r="U28" s="276"/>
      <c r="V28" s="277"/>
      <c r="W28" s="279"/>
      <c r="Y28" s="233"/>
      <c r="Z28" s="10"/>
      <c r="AA28" s="232"/>
      <c r="AB28" s="231"/>
      <c r="AC28" s="231"/>
      <c r="AD28" s="231"/>
      <c r="AE28" s="231"/>
      <c r="AF28" s="230"/>
    </row>
    <row r="29" spans="1:32">
      <c r="H29" s="358"/>
      <c r="I29" s="113" t="s">
        <v>44</v>
      </c>
      <c r="J29" s="351" t="s">
        <v>45</v>
      </c>
      <c r="K29" s="120"/>
      <c r="L29" s="215">
        <f>+K29*3</f>
        <v>0</v>
      </c>
      <c r="M29" s="117"/>
      <c r="N29" s="31">
        <v>0</v>
      </c>
      <c r="O29" s="332">
        <v>23</v>
      </c>
      <c r="P29" s="333">
        <f>IF(O29&gt;25,150,(O29)*6)</f>
        <v>138</v>
      </c>
      <c r="Q29" s="196"/>
      <c r="R29" s="229">
        <f t="shared" si="0"/>
        <v>138</v>
      </c>
      <c r="S29" s="7"/>
      <c r="T29" s="268"/>
      <c r="U29" s="269"/>
      <c r="V29" s="270"/>
      <c r="W29" s="275"/>
      <c r="Y29" s="289" t="s">
        <v>233</v>
      </c>
      <c r="Z29" s="264"/>
      <c r="AA29" s="264"/>
      <c r="AB29" s="264"/>
      <c r="AC29" s="250" t="s">
        <v>229</v>
      </c>
      <c r="AD29" s="249" t="s">
        <v>213</v>
      </c>
      <c r="AE29" s="249"/>
    </row>
    <row r="30" spans="1:32">
      <c r="A30" s="4"/>
      <c r="B30" s="4"/>
      <c r="C30" s="4"/>
      <c r="D30" s="3"/>
      <c r="E30" s="4"/>
      <c r="F30" s="166"/>
      <c r="G30" s="4"/>
      <c r="H30" s="358"/>
      <c r="I30" s="113" t="s">
        <v>14</v>
      </c>
      <c r="J30" s="351" t="s">
        <v>66</v>
      </c>
      <c r="K30" s="120"/>
      <c r="L30" s="215">
        <f>+K30*3</f>
        <v>0</v>
      </c>
      <c r="M30" s="117"/>
      <c r="N30" s="31">
        <f>+M28*3</f>
        <v>0</v>
      </c>
      <c r="O30" s="332">
        <v>27</v>
      </c>
      <c r="P30" s="333">
        <f>IF(O30&gt;25,150,(O30)*6)</f>
        <v>150</v>
      </c>
      <c r="Q30" s="196"/>
      <c r="R30" s="229">
        <f t="shared" si="0"/>
        <v>150</v>
      </c>
      <c r="S30" s="7"/>
      <c r="T30" s="268"/>
      <c r="U30" s="269"/>
      <c r="V30" s="270"/>
      <c r="W30" s="271"/>
      <c r="Y30" s="259" t="s">
        <v>228</v>
      </c>
      <c r="Z30" s="263" t="s">
        <v>227</v>
      </c>
      <c r="AA30" s="262"/>
      <c r="AB30" s="262"/>
      <c r="AC30" s="250" t="s">
        <v>226</v>
      </c>
      <c r="AD30" s="261" t="s">
        <v>213</v>
      </c>
      <c r="AE30" s="261"/>
    </row>
    <row r="31" spans="1:32">
      <c r="H31" s="357"/>
      <c r="I31" s="372" t="s">
        <v>15</v>
      </c>
      <c r="J31" s="350" t="s">
        <v>16</v>
      </c>
      <c r="K31" s="18"/>
      <c r="L31" s="213">
        <f>+K31*3</f>
        <v>0</v>
      </c>
      <c r="M31" s="373"/>
      <c r="N31" s="23">
        <f>5*M31</f>
        <v>0</v>
      </c>
      <c r="O31" s="334"/>
      <c r="P31" s="331">
        <f t="shared" ref="P31:P40" si="4">IF(O31&gt;25,150,(O31)*6)</f>
        <v>0</v>
      </c>
      <c r="Q31" s="196"/>
      <c r="R31" s="23">
        <f t="shared" si="0"/>
        <v>0</v>
      </c>
      <c r="S31" s="7"/>
      <c r="T31" s="268"/>
      <c r="U31" s="269"/>
      <c r="V31" s="272"/>
      <c r="W31" s="275"/>
      <c r="Y31" s="259" t="s">
        <v>225</v>
      </c>
      <c r="Z31" s="251" t="s">
        <v>224</v>
      </c>
      <c r="AA31" s="250" t="s">
        <v>223</v>
      </c>
      <c r="AB31" s="255">
        <v>43256</v>
      </c>
      <c r="AC31" s="258" t="s">
        <v>222</v>
      </c>
      <c r="AD31" s="257">
        <v>2018</v>
      </c>
      <c r="AE31" s="10"/>
    </row>
    <row r="32" spans="1:32" s="4" customFormat="1">
      <c r="A32"/>
      <c r="B32"/>
      <c r="C32"/>
      <c r="D32" s="1"/>
      <c r="E32"/>
      <c r="F32" s="2"/>
      <c r="G32"/>
      <c r="H32" s="357"/>
      <c r="I32" s="372" t="s">
        <v>17</v>
      </c>
      <c r="J32" s="352" t="s">
        <v>119</v>
      </c>
      <c r="K32" s="35"/>
      <c r="L32" s="213"/>
      <c r="M32" s="373"/>
      <c r="N32" s="31">
        <v>0</v>
      </c>
      <c r="O32" s="334"/>
      <c r="P32" s="333">
        <f t="shared" si="4"/>
        <v>0</v>
      </c>
      <c r="Q32" s="195"/>
      <c r="R32" s="228">
        <f t="shared" si="0"/>
        <v>0</v>
      </c>
      <c r="S32" s="7"/>
      <c r="T32" s="274"/>
      <c r="U32" s="269"/>
      <c r="V32" s="270"/>
      <c r="W32" s="278"/>
      <c r="Y32" s="252" t="s">
        <v>221</v>
      </c>
      <c r="Z32" s="251" t="s">
        <v>220</v>
      </c>
      <c r="AA32" s="250" t="s">
        <v>219</v>
      </c>
      <c r="AB32" s="254" t="s">
        <v>218</v>
      </c>
      <c r="AC32" s="250" t="s">
        <v>217</v>
      </c>
      <c r="AD32" s="255">
        <v>43348</v>
      </c>
      <c r="AE32" s="249"/>
    </row>
    <row r="33" spans="8:31">
      <c r="H33" s="357"/>
      <c r="I33" s="113" t="s">
        <v>75</v>
      </c>
      <c r="J33" s="351" t="s">
        <v>76</v>
      </c>
      <c r="K33" s="115"/>
      <c r="L33" s="215"/>
      <c r="M33" s="117"/>
      <c r="N33" s="31">
        <f>+M33*3</f>
        <v>0</v>
      </c>
      <c r="O33" s="332"/>
      <c r="P33" s="333">
        <f t="shared" si="4"/>
        <v>0</v>
      </c>
      <c r="Q33" s="195"/>
      <c r="R33" s="228">
        <f t="shared" si="0"/>
        <v>0</v>
      </c>
      <c r="S33" s="7"/>
      <c r="T33" s="268"/>
      <c r="U33" s="276"/>
      <c r="V33" s="277"/>
      <c r="W33" s="279"/>
      <c r="Y33" s="252" t="s">
        <v>216</v>
      </c>
      <c r="Z33" s="251" t="s">
        <v>215</v>
      </c>
      <c r="AA33" s="250" t="s">
        <v>214</v>
      </c>
      <c r="AB33" s="249" t="s">
        <v>213</v>
      </c>
      <c r="AC33" s="250" t="s">
        <v>212</v>
      </c>
      <c r="AD33" s="249" t="s">
        <v>211</v>
      </c>
      <c r="AE33" s="249"/>
    </row>
    <row r="34" spans="8:31" ht="17.25" thickBot="1">
      <c r="H34" s="357"/>
      <c r="I34" s="113" t="s">
        <v>146</v>
      </c>
      <c r="J34" s="351" t="s">
        <v>55</v>
      </c>
      <c r="K34" s="115"/>
      <c r="L34" s="215"/>
      <c r="M34" s="117"/>
      <c r="N34" s="31">
        <v>0</v>
      </c>
      <c r="O34" s="332"/>
      <c r="P34" s="333">
        <f t="shared" si="4"/>
        <v>0</v>
      </c>
      <c r="Q34" s="195"/>
      <c r="R34" s="31">
        <f t="shared" si="0"/>
        <v>0</v>
      </c>
      <c r="S34" s="7"/>
      <c r="T34" s="270"/>
      <c r="U34" s="269"/>
      <c r="V34" s="270"/>
      <c r="W34" s="275"/>
      <c r="Y34" s="247" t="s">
        <v>210</v>
      </c>
      <c r="Z34" s="247" t="s">
        <v>209</v>
      </c>
      <c r="AA34" s="246" t="s">
        <v>208</v>
      </c>
      <c r="AB34" s="246" t="s">
        <v>207</v>
      </c>
      <c r="AC34" s="246" t="s">
        <v>206</v>
      </c>
      <c r="AD34" s="246" t="s">
        <v>205</v>
      </c>
      <c r="AE34" s="246" t="s">
        <v>204</v>
      </c>
    </row>
    <row r="35" spans="8:31">
      <c r="H35" s="357"/>
      <c r="I35" s="113" t="s">
        <v>69</v>
      </c>
      <c r="J35" s="351" t="s">
        <v>70</v>
      </c>
      <c r="K35" s="115"/>
      <c r="L35" s="215">
        <v>0</v>
      </c>
      <c r="M35" s="117"/>
      <c r="N35" s="31">
        <f>+M35*3</f>
        <v>0</v>
      </c>
      <c r="O35" s="332">
        <v>25</v>
      </c>
      <c r="P35" s="333">
        <f t="shared" si="4"/>
        <v>150</v>
      </c>
      <c r="Q35" s="195"/>
      <c r="R35" s="228">
        <f t="shared" si="0"/>
        <v>150</v>
      </c>
      <c r="S35" s="7"/>
      <c r="T35" s="268"/>
      <c r="U35" s="269"/>
      <c r="V35" s="270"/>
      <c r="W35" s="271"/>
      <c r="Y35" s="240" t="s">
        <v>202</v>
      </c>
      <c r="Z35" s="10" t="s">
        <v>201</v>
      </c>
      <c r="AA35" s="232">
        <v>43102</v>
      </c>
      <c r="AB35" s="239">
        <v>444</v>
      </c>
      <c r="AC35" s="239">
        <v>674</v>
      </c>
      <c r="AD35" s="239">
        <v>87.62</v>
      </c>
      <c r="AE35" s="239">
        <v>586.38</v>
      </c>
    </row>
    <row r="36" spans="8:31">
      <c r="H36" s="357"/>
      <c r="I36" s="372" t="s">
        <v>91</v>
      </c>
      <c r="J36" s="352" t="s">
        <v>92</v>
      </c>
      <c r="K36" s="35"/>
      <c r="L36" s="213">
        <v>0</v>
      </c>
      <c r="M36" s="373"/>
      <c r="N36" s="31">
        <f>+M36*3</f>
        <v>0</v>
      </c>
      <c r="O36" s="334"/>
      <c r="P36" s="333">
        <f t="shared" si="4"/>
        <v>0</v>
      </c>
      <c r="Q36" s="195"/>
      <c r="R36" s="228">
        <f t="shared" si="0"/>
        <v>0</v>
      </c>
      <c r="S36" s="7"/>
      <c r="T36" s="268"/>
      <c r="U36" s="269"/>
      <c r="V36" s="272"/>
      <c r="W36" s="273"/>
      <c r="Y36" s="240" t="s">
        <v>200</v>
      </c>
      <c r="Z36" s="10" t="s">
        <v>199</v>
      </c>
      <c r="AA36" s="232">
        <v>42837</v>
      </c>
      <c r="AB36" s="239">
        <v>204</v>
      </c>
      <c r="AC36" s="239">
        <v>344.8</v>
      </c>
      <c r="AD36" s="239">
        <v>44.82</v>
      </c>
      <c r="AE36" s="239">
        <v>299.98</v>
      </c>
    </row>
    <row r="37" spans="8:31">
      <c r="H37" s="357"/>
      <c r="I37" s="372" t="s">
        <v>93</v>
      </c>
      <c r="J37" s="350" t="s">
        <v>94</v>
      </c>
      <c r="K37" s="18"/>
      <c r="L37" s="213">
        <v>0</v>
      </c>
      <c r="M37" s="373"/>
      <c r="N37" s="31">
        <v>0</v>
      </c>
      <c r="O37" s="334"/>
      <c r="P37" s="333">
        <f t="shared" si="4"/>
        <v>0</v>
      </c>
      <c r="Q37" s="196"/>
      <c r="R37" s="31">
        <f t="shared" si="0"/>
        <v>0</v>
      </c>
      <c r="S37" s="7"/>
      <c r="T37" s="274"/>
      <c r="U37" s="269"/>
      <c r="V37" s="270"/>
      <c r="W37" s="275"/>
      <c r="Y37" s="240" t="s">
        <v>198</v>
      </c>
      <c r="Z37" s="10" t="s">
        <v>143</v>
      </c>
      <c r="AA37" s="232">
        <v>42837</v>
      </c>
      <c r="AB37" s="239">
        <v>540</v>
      </c>
      <c r="AC37" s="239">
        <v>786</v>
      </c>
      <c r="AD37" s="239">
        <v>102.18</v>
      </c>
      <c r="AE37" s="239">
        <v>683.82</v>
      </c>
    </row>
    <row r="38" spans="8:31">
      <c r="H38" s="357"/>
      <c r="I38" s="372" t="s">
        <v>120</v>
      </c>
      <c r="J38" s="350" t="s">
        <v>121</v>
      </c>
      <c r="K38" s="18"/>
      <c r="L38" s="213">
        <v>0</v>
      </c>
      <c r="M38" s="373"/>
      <c r="N38" s="31">
        <v>0</v>
      </c>
      <c r="O38" s="334"/>
      <c r="P38" s="333">
        <f t="shared" si="4"/>
        <v>0</v>
      </c>
      <c r="Q38" s="196"/>
      <c r="R38" s="31">
        <f t="shared" si="0"/>
        <v>0</v>
      </c>
      <c r="S38" s="7"/>
      <c r="T38" s="268"/>
      <c r="U38" s="276"/>
      <c r="V38" s="277"/>
      <c r="W38" s="276"/>
      <c r="Y38" s="240" t="s">
        <v>197</v>
      </c>
      <c r="Z38" s="10" t="s">
        <v>196</v>
      </c>
      <c r="AA38" s="232">
        <v>42046</v>
      </c>
      <c r="AB38" s="239">
        <v>274.27999999999997</v>
      </c>
      <c r="AC38" s="239">
        <v>323.58999999999997</v>
      </c>
      <c r="AD38" s="239">
        <v>42.07</v>
      </c>
      <c r="AE38" s="239">
        <v>281.52</v>
      </c>
    </row>
    <row r="39" spans="8:31">
      <c r="H39" s="357"/>
      <c r="I39" s="372" t="s">
        <v>125</v>
      </c>
      <c r="J39" s="350" t="s">
        <v>126</v>
      </c>
      <c r="K39" s="18"/>
      <c r="L39" s="213">
        <v>0</v>
      </c>
      <c r="M39" s="373"/>
      <c r="N39" s="31">
        <v>0</v>
      </c>
      <c r="O39" s="334"/>
      <c r="P39" s="333">
        <f t="shared" si="4"/>
        <v>0</v>
      </c>
      <c r="Q39" s="196"/>
      <c r="R39" s="228">
        <f t="shared" si="0"/>
        <v>0</v>
      </c>
      <c r="S39" s="7"/>
      <c r="T39" s="270"/>
      <c r="U39" s="269"/>
      <c r="V39" s="270"/>
      <c r="W39" s="275"/>
      <c r="Y39" s="240" t="s">
        <v>195</v>
      </c>
      <c r="Z39" s="10" t="s">
        <v>194</v>
      </c>
      <c r="AA39" s="232">
        <v>42801</v>
      </c>
      <c r="AB39" s="239">
        <v>144</v>
      </c>
      <c r="AC39" s="239">
        <v>243.6</v>
      </c>
      <c r="AD39" s="239">
        <v>31.67</v>
      </c>
      <c r="AE39" s="239">
        <v>211.93</v>
      </c>
    </row>
    <row r="40" spans="8:31">
      <c r="H40" s="355" t="s">
        <v>84</v>
      </c>
      <c r="I40" s="198" t="s">
        <v>158</v>
      </c>
      <c r="J40" s="354" t="s">
        <v>159</v>
      </c>
      <c r="K40" s="200"/>
      <c r="L40" s="218">
        <v>0</v>
      </c>
      <c r="M40" s="368"/>
      <c r="N40" s="369">
        <f>+M40*3</f>
        <v>0</v>
      </c>
      <c r="O40" s="204"/>
      <c r="P40" s="203">
        <f t="shared" si="4"/>
        <v>0</v>
      </c>
      <c r="Q40" s="205"/>
      <c r="R40" s="203">
        <f t="shared" si="0"/>
        <v>0</v>
      </c>
      <c r="S40" s="7"/>
      <c r="T40" s="268"/>
      <c r="U40" s="269"/>
      <c r="V40" s="270"/>
      <c r="W40" s="271"/>
      <c r="Y40" s="240" t="s">
        <v>193</v>
      </c>
      <c r="Z40" s="10" t="s">
        <v>192</v>
      </c>
      <c r="AA40" s="232">
        <v>42499</v>
      </c>
      <c r="AB40" s="239">
        <v>12</v>
      </c>
      <c r="AC40" s="239">
        <v>21.2</v>
      </c>
      <c r="AD40" s="239">
        <v>2.76</v>
      </c>
      <c r="AE40" s="239">
        <v>18.440000000000001</v>
      </c>
    </row>
    <row r="41" spans="8:31">
      <c r="I41" s="41"/>
      <c r="J41" s="42"/>
      <c r="K41" s="65">
        <f t="shared" ref="K41:Q41" si="5">SUM(K5:K40)</f>
        <v>0</v>
      </c>
      <c r="L41" s="66">
        <f t="shared" si="5"/>
        <v>0</v>
      </c>
      <c r="M41" s="56">
        <f t="shared" si="5"/>
        <v>0</v>
      </c>
      <c r="N41" s="58">
        <f t="shared" si="5"/>
        <v>0</v>
      </c>
      <c r="O41" s="335">
        <f t="shared" si="5"/>
        <v>396</v>
      </c>
      <c r="P41" s="336">
        <f t="shared" si="5"/>
        <v>2082</v>
      </c>
      <c r="Q41" s="58">
        <f t="shared" si="5"/>
        <v>0</v>
      </c>
      <c r="R41" s="57">
        <f t="shared" si="0"/>
        <v>2082</v>
      </c>
      <c r="S41" s="7"/>
      <c r="T41" s="268"/>
      <c r="U41" s="269"/>
      <c r="V41" s="272"/>
      <c r="W41" s="270"/>
      <c r="Y41" s="285" t="s">
        <v>191</v>
      </c>
      <c r="Z41" s="286" t="s">
        <v>190</v>
      </c>
      <c r="AA41" s="287">
        <v>42046</v>
      </c>
      <c r="AB41" s="282">
        <v>696</v>
      </c>
      <c r="AC41" s="282">
        <v>827.2</v>
      </c>
      <c r="AD41" s="282">
        <v>107.21</v>
      </c>
      <c r="AE41" s="288">
        <v>719.99</v>
      </c>
    </row>
    <row r="42" spans="8:31">
      <c r="L42" s="167" t="s">
        <v>105</v>
      </c>
      <c r="M42" s="168">
        <v>245</v>
      </c>
      <c r="N42" s="167" t="s">
        <v>105</v>
      </c>
      <c r="O42" s="168">
        <f>+O43-O41</f>
        <v>-396</v>
      </c>
      <c r="P42" s="168">
        <f>+P43-P41</f>
        <v>210</v>
      </c>
      <c r="Q42" s="168"/>
      <c r="R42" s="175">
        <f>+R40+R27</f>
        <v>150</v>
      </c>
      <c r="S42" s="7"/>
      <c r="T42" s="268"/>
      <c r="U42" s="269"/>
      <c r="V42" s="272"/>
      <c r="W42" s="270"/>
      <c r="Y42" s="240" t="s">
        <v>189</v>
      </c>
      <c r="Z42" s="10" t="s">
        <v>188</v>
      </c>
      <c r="AA42" s="232">
        <v>43347</v>
      </c>
      <c r="AB42" s="239">
        <v>432</v>
      </c>
      <c r="AC42" s="239">
        <v>660</v>
      </c>
      <c r="AD42" s="239">
        <v>85.8</v>
      </c>
      <c r="AE42" s="239">
        <v>574.20000000000005</v>
      </c>
    </row>
    <row r="43" spans="8:31">
      <c r="L43" s="169"/>
      <c r="M43" s="170">
        <f>+M41-M42</f>
        <v>-245</v>
      </c>
      <c r="N43" s="171" t="s">
        <v>147</v>
      </c>
      <c r="O43" s="169"/>
      <c r="P43" s="169">
        <v>2292</v>
      </c>
      <c r="Q43" s="176" t="s">
        <v>133</v>
      </c>
      <c r="R43" s="177">
        <f>+R41-R42</f>
        <v>1932</v>
      </c>
      <c r="S43" s="7"/>
      <c r="T43" s="274"/>
      <c r="U43" s="269"/>
      <c r="V43" s="270"/>
      <c r="W43" s="278"/>
      <c r="Y43" s="240" t="s">
        <v>187</v>
      </c>
      <c r="Z43" s="10" t="s">
        <v>186</v>
      </c>
      <c r="AA43" s="232">
        <v>42837</v>
      </c>
      <c r="AB43" s="239">
        <v>504</v>
      </c>
      <c r="AC43" s="239">
        <v>744</v>
      </c>
      <c r="AD43" s="239">
        <v>91.22</v>
      </c>
      <c r="AE43" s="239">
        <v>652.78</v>
      </c>
    </row>
    <row r="44" spans="8:31">
      <c r="T44" s="268"/>
      <c r="U44" s="276"/>
      <c r="V44" s="277"/>
      <c r="W44" s="279"/>
      <c r="Y44" s="240" t="s">
        <v>185</v>
      </c>
      <c r="Z44" s="10" t="s">
        <v>184</v>
      </c>
      <c r="AA44" s="232">
        <v>42125</v>
      </c>
      <c r="AB44" s="239">
        <v>432</v>
      </c>
      <c r="AC44" s="239">
        <v>660</v>
      </c>
      <c r="AD44" s="239">
        <v>80.92</v>
      </c>
      <c r="AE44" s="239">
        <v>579.08000000000004</v>
      </c>
    </row>
    <row r="45" spans="8:31">
      <c r="Q45">
        <f>186/31</f>
        <v>6</v>
      </c>
      <c r="R45">
        <v>1440</v>
      </c>
      <c r="T45" s="270"/>
      <c r="U45" s="269"/>
      <c r="V45" s="270"/>
      <c r="W45" s="270"/>
      <c r="Y45" s="285" t="s">
        <v>183</v>
      </c>
      <c r="Z45" s="286" t="s">
        <v>74</v>
      </c>
      <c r="AA45" s="287">
        <v>42499</v>
      </c>
      <c r="AB45" s="282">
        <v>576</v>
      </c>
      <c r="AC45" s="282">
        <v>827.59</v>
      </c>
      <c r="AD45" s="282">
        <v>107.59</v>
      </c>
      <c r="AE45" s="288">
        <v>720</v>
      </c>
    </row>
    <row r="46" spans="8:31">
      <c r="P46" s="67"/>
      <c r="R46" s="6">
        <f>+R43-R45</f>
        <v>492</v>
      </c>
      <c r="T46" s="270"/>
      <c r="U46" s="269"/>
      <c r="V46" s="270"/>
      <c r="W46" s="270"/>
      <c r="Y46" s="285" t="s">
        <v>182</v>
      </c>
      <c r="Z46" s="286" t="s">
        <v>51</v>
      </c>
      <c r="AA46" s="287">
        <v>42375</v>
      </c>
      <c r="AB46" s="282">
        <v>624</v>
      </c>
      <c r="AC46" s="282">
        <v>827.6</v>
      </c>
      <c r="AD46" s="282">
        <v>107.59</v>
      </c>
      <c r="AE46" s="288">
        <v>720.01</v>
      </c>
    </row>
    <row r="47" spans="8:31">
      <c r="P47" s="67"/>
      <c r="T47" s="270"/>
      <c r="U47" s="269"/>
      <c r="V47" s="270"/>
      <c r="W47" s="270"/>
      <c r="Y47" s="240" t="s">
        <v>181</v>
      </c>
      <c r="Z47" s="10" t="s">
        <v>180</v>
      </c>
      <c r="AA47" s="232">
        <v>42375</v>
      </c>
      <c r="AB47" s="239">
        <v>492</v>
      </c>
      <c r="AC47" s="239">
        <v>730</v>
      </c>
      <c r="AD47" s="239">
        <v>94.9</v>
      </c>
      <c r="AE47" s="239">
        <v>635.1</v>
      </c>
    </row>
    <row r="48" spans="8:31">
      <c r="T48" s="270"/>
      <c r="U48" s="269"/>
      <c r="V48" s="270"/>
      <c r="W48" s="270"/>
      <c r="Y48" s="240" t="s">
        <v>179</v>
      </c>
      <c r="Z48" s="10" t="s">
        <v>49</v>
      </c>
      <c r="AA48" s="232">
        <v>42897</v>
      </c>
      <c r="AB48" s="239">
        <v>12</v>
      </c>
      <c r="AC48" s="239">
        <v>21.2</v>
      </c>
      <c r="AD48" s="239">
        <v>2.64</v>
      </c>
      <c r="AE48" s="239">
        <v>18.559999999999999</v>
      </c>
    </row>
    <row r="49" spans="20:35">
      <c r="T49" s="270"/>
      <c r="U49" s="269"/>
      <c r="V49" s="270"/>
      <c r="W49" s="270"/>
      <c r="Y49" s="240" t="s">
        <v>178</v>
      </c>
      <c r="Z49" s="10" t="s">
        <v>177</v>
      </c>
      <c r="AA49" s="232" t="s">
        <v>176</v>
      </c>
      <c r="AB49" s="239">
        <v>444</v>
      </c>
      <c r="AC49" s="239">
        <v>674</v>
      </c>
      <c r="AD49" s="239">
        <v>87.62</v>
      </c>
      <c r="AE49" s="239">
        <v>586.38</v>
      </c>
    </row>
    <row r="50" spans="20:35">
      <c r="T50" s="270"/>
      <c r="U50" s="269"/>
      <c r="V50" s="270"/>
      <c r="W50" s="270"/>
      <c r="Y50" s="240" t="s">
        <v>175</v>
      </c>
      <c r="Z50" s="10" t="s">
        <v>57</v>
      </c>
      <c r="AA50" s="232">
        <v>42889</v>
      </c>
      <c r="AB50" s="239">
        <v>528</v>
      </c>
      <c r="AC50" s="239">
        <v>772</v>
      </c>
      <c r="AD50" s="239">
        <v>90.63</v>
      </c>
      <c r="AE50" s="239">
        <v>681.37</v>
      </c>
    </row>
    <row r="51" spans="20:35">
      <c r="T51" s="270"/>
      <c r="U51" s="269"/>
      <c r="V51" s="270"/>
      <c r="W51" s="270"/>
      <c r="Y51" s="130"/>
      <c r="Z51" s="237"/>
      <c r="AA51" s="236"/>
      <c r="AB51" s="235">
        <f>SUM(AB35:AB50)</f>
        <v>6358.28</v>
      </c>
      <c r="AC51" s="235">
        <f>SUM(AC35:AC50)</f>
        <v>9136.7799999999988</v>
      </c>
      <c r="AD51" s="235">
        <f>SUM(AD35:AD50)</f>
        <v>1167.2400000000002</v>
      </c>
      <c r="AE51" s="235">
        <f>SUM(AE35:AE50)</f>
        <v>7969.5400000000009</v>
      </c>
    </row>
    <row r="52" spans="20:35">
      <c r="T52" s="270"/>
      <c r="U52" s="269"/>
      <c r="V52" s="270"/>
      <c r="W52" s="270"/>
    </row>
    <row r="53" spans="20:35">
      <c r="Y53" s="291" t="s">
        <v>230</v>
      </c>
      <c r="Z53" s="292"/>
      <c r="AA53" s="292"/>
      <c r="AB53" s="292"/>
      <c r="AC53" s="293" t="s">
        <v>229</v>
      </c>
      <c r="AD53" s="294" t="s">
        <v>213</v>
      </c>
      <c r="AE53" s="295"/>
      <c r="AF53" s="248"/>
      <c r="AG53" s="249"/>
      <c r="AH53" s="249"/>
      <c r="AI53" s="254"/>
    </row>
    <row r="54" spans="20:35">
      <c r="Y54" s="296" t="s">
        <v>228</v>
      </c>
      <c r="Z54" s="297" t="s">
        <v>227</v>
      </c>
      <c r="AA54" s="298"/>
      <c r="AB54" s="298"/>
      <c r="AC54" s="299" t="s">
        <v>226</v>
      </c>
      <c r="AD54" s="260" t="s">
        <v>213</v>
      </c>
      <c r="AE54" s="300"/>
      <c r="AF54" s="260"/>
      <c r="AG54" s="261"/>
      <c r="AH54" s="261"/>
      <c r="AI54" s="254"/>
    </row>
    <row r="55" spans="20:35">
      <c r="Y55" s="296" t="s">
        <v>225</v>
      </c>
      <c r="Z55" s="301" t="s">
        <v>224</v>
      </c>
      <c r="AA55" s="299" t="s">
        <v>223</v>
      </c>
      <c r="AB55" s="302">
        <v>43256</v>
      </c>
      <c r="AC55" s="303" t="s">
        <v>222</v>
      </c>
      <c r="AD55" s="304">
        <v>2018</v>
      </c>
      <c r="AE55" s="305"/>
      <c r="AF55" s="256"/>
      <c r="AG55" s="10"/>
      <c r="AH55" s="10"/>
      <c r="AI55" s="10"/>
    </row>
    <row r="56" spans="20:35">
      <c r="Y56" s="306" t="s">
        <v>221</v>
      </c>
      <c r="Z56" s="301" t="s">
        <v>220</v>
      </c>
      <c r="AA56" s="299" t="s">
        <v>219</v>
      </c>
      <c r="AB56" s="253" t="s">
        <v>218</v>
      </c>
      <c r="AC56" s="299" t="s">
        <v>217</v>
      </c>
      <c r="AD56" s="302">
        <v>43348</v>
      </c>
      <c r="AE56" s="307"/>
      <c r="AF56" s="248"/>
      <c r="AG56" s="249"/>
      <c r="AH56" s="249"/>
      <c r="AI56" s="254"/>
    </row>
    <row r="57" spans="20:35">
      <c r="Y57" s="306" t="s">
        <v>216</v>
      </c>
      <c r="Z57" s="301" t="s">
        <v>215</v>
      </c>
      <c r="AA57" s="299" t="s">
        <v>214</v>
      </c>
      <c r="AB57" s="248" t="s">
        <v>213</v>
      </c>
      <c r="AC57" s="299" t="s">
        <v>212</v>
      </c>
      <c r="AD57" s="248" t="s">
        <v>211</v>
      </c>
      <c r="AE57" s="307"/>
      <c r="AF57" s="248"/>
      <c r="AG57" s="249"/>
      <c r="AH57" s="249"/>
      <c r="AI57" s="250"/>
    </row>
    <row r="58" spans="20:35" ht="17.25" thickBot="1">
      <c r="Y58" s="308" t="s">
        <v>210</v>
      </c>
      <c r="Z58" s="247" t="s">
        <v>209</v>
      </c>
      <c r="AA58" s="246" t="s">
        <v>208</v>
      </c>
      <c r="AB58" s="246" t="s">
        <v>207</v>
      </c>
      <c r="AC58" s="246" t="s">
        <v>206</v>
      </c>
      <c r="AD58" s="246" t="s">
        <v>205</v>
      </c>
      <c r="AE58" s="309" t="s">
        <v>204</v>
      </c>
      <c r="AF58" s="290"/>
      <c r="AG58" s="246" t="s">
        <v>237</v>
      </c>
      <c r="AH58" s="246" t="s">
        <v>236</v>
      </c>
      <c r="AI58" s="246" t="s">
        <v>235</v>
      </c>
    </row>
    <row r="59" spans="20:35">
      <c r="Y59" s="310" t="s">
        <v>202</v>
      </c>
      <c r="Z59" s="256" t="s">
        <v>201</v>
      </c>
      <c r="AA59" s="311">
        <v>43102</v>
      </c>
      <c r="AB59" s="238">
        <v>444</v>
      </c>
      <c r="AC59" s="238">
        <v>748</v>
      </c>
      <c r="AD59" s="238">
        <v>97.24</v>
      </c>
      <c r="AE59" s="312">
        <v>650.76</v>
      </c>
      <c r="AF59" s="238"/>
      <c r="AG59" s="239">
        <v>74</v>
      </c>
      <c r="AH59" s="239">
        <v>150</v>
      </c>
      <c r="AI59" s="239">
        <v>5</v>
      </c>
    </row>
    <row r="60" spans="20:35">
      <c r="Y60" s="310" t="s">
        <v>200</v>
      </c>
      <c r="Z60" s="256" t="s">
        <v>199</v>
      </c>
      <c r="AA60" s="311">
        <v>42837</v>
      </c>
      <c r="AB60" s="238">
        <v>204</v>
      </c>
      <c r="AC60" s="238">
        <v>378.8</v>
      </c>
      <c r="AD60" s="238">
        <v>49.24</v>
      </c>
      <c r="AE60" s="312">
        <v>329.56</v>
      </c>
      <c r="AF60" s="238"/>
      <c r="AG60" s="239">
        <v>34</v>
      </c>
      <c r="AH60" s="239">
        <v>102</v>
      </c>
      <c r="AI60" s="239">
        <v>4</v>
      </c>
    </row>
    <row r="61" spans="20:35">
      <c r="Y61" s="310" t="s">
        <v>198</v>
      </c>
      <c r="Z61" s="256" t="s">
        <v>143</v>
      </c>
      <c r="AA61" s="311">
        <v>42837</v>
      </c>
      <c r="AB61" s="238">
        <v>540</v>
      </c>
      <c r="AC61" s="238">
        <v>876</v>
      </c>
      <c r="AD61" s="238">
        <v>113.88</v>
      </c>
      <c r="AE61" s="312">
        <v>762.12</v>
      </c>
      <c r="AF61" s="238"/>
      <c r="AG61" s="239">
        <v>90</v>
      </c>
      <c r="AH61" s="239">
        <v>150</v>
      </c>
      <c r="AI61" s="239">
        <v>5</v>
      </c>
    </row>
    <row r="62" spans="20:35">
      <c r="Y62" s="310" t="s">
        <v>197</v>
      </c>
      <c r="Z62" s="256" t="s">
        <v>196</v>
      </c>
      <c r="AA62" s="311">
        <v>42046</v>
      </c>
      <c r="AB62" s="238">
        <v>274.27999999999997</v>
      </c>
      <c r="AC62" s="238">
        <v>369.3</v>
      </c>
      <c r="AD62" s="238">
        <v>48.01</v>
      </c>
      <c r="AE62" s="312">
        <v>321.29000000000002</v>
      </c>
      <c r="AF62" s="238"/>
      <c r="AG62" s="239">
        <v>45.71</v>
      </c>
      <c r="AH62" s="239">
        <v>0</v>
      </c>
      <c r="AI62" s="239">
        <v>3</v>
      </c>
    </row>
    <row r="63" spans="20:35">
      <c r="Y63" s="310" t="s">
        <v>195</v>
      </c>
      <c r="Z63" s="256" t="s">
        <v>194</v>
      </c>
      <c r="AA63" s="311">
        <v>42801</v>
      </c>
      <c r="AB63" s="238">
        <v>144</v>
      </c>
      <c r="AC63" s="238">
        <v>267.60000000000002</v>
      </c>
      <c r="AD63" s="238">
        <v>34.79</v>
      </c>
      <c r="AE63" s="312">
        <v>232.81</v>
      </c>
      <c r="AF63" s="238"/>
      <c r="AG63" s="239">
        <v>24</v>
      </c>
      <c r="AH63" s="239">
        <v>72</v>
      </c>
      <c r="AI63" s="239">
        <v>3</v>
      </c>
    </row>
    <row r="64" spans="20:35">
      <c r="Y64" s="310" t="s">
        <v>193</v>
      </c>
      <c r="Z64" s="256" t="s">
        <v>192</v>
      </c>
      <c r="AA64" s="311">
        <v>42499</v>
      </c>
      <c r="AB64" s="238">
        <v>12</v>
      </c>
      <c r="AC64" s="238">
        <v>23.2</v>
      </c>
      <c r="AD64" s="238">
        <v>3.02</v>
      </c>
      <c r="AE64" s="312">
        <v>20.18</v>
      </c>
      <c r="AF64" s="238"/>
      <c r="AG64" s="239">
        <v>2</v>
      </c>
      <c r="AH64" s="239">
        <v>6</v>
      </c>
      <c r="AI64" s="239">
        <v>1</v>
      </c>
    </row>
    <row r="65" spans="25:35">
      <c r="Y65" s="310" t="s">
        <v>191</v>
      </c>
      <c r="Z65" s="256" t="s">
        <v>190</v>
      </c>
      <c r="AA65" s="311">
        <v>42046</v>
      </c>
      <c r="AB65" s="238">
        <v>696</v>
      </c>
      <c r="AC65" s="238">
        <v>943.2</v>
      </c>
      <c r="AD65" s="238">
        <v>122.24</v>
      </c>
      <c r="AE65" s="312">
        <v>820.96</v>
      </c>
      <c r="AF65" s="238"/>
      <c r="AG65" s="239">
        <v>116</v>
      </c>
      <c r="AH65" s="239">
        <v>9.1999999999999993</v>
      </c>
      <c r="AI65" s="239">
        <v>5</v>
      </c>
    </row>
    <row r="66" spans="25:35">
      <c r="Y66" s="310" t="s">
        <v>189</v>
      </c>
      <c r="Z66" s="256" t="s">
        <v>188</v>
      </c>
      <c r="AA66" s="311">
        <v>43347</v>
      </c>
      <c r="AB66" s="238">
        <v>432</v>
      </c>
      <c r="AC66" s="238">
        <v>732</v>
      </c>
      <c r="AD66" s="238">
        <v>95.16</v>
      </c>
      <c r="AE66" s="312">
        <v>636.84</v>
      </c>
      <c r="AF66" s="238"/>
      <c r="AG66" s="239">
        <v>72</v>
      </c>
      <c r="AH66" s="239">
        <v>150</v>
      </c>
      <c r="AI66" s="239">
        <v>5</v>
      </c>
    </row>
    <row r="67" spans="25:35">
      <c r="Y67" s="310" t="s">
        <v>187</v>
      </c>
      <c r="Z67" s="256" t="s">
        <v>186</v>
      </c>
      <c r="AA67" s="311">
        <v>42837</v>
      </c>
      <c r="AB67" s="238">
        <v>504</v>
      </c>
      <c r="AC67" s="238">
        <v>828</v>
      </c>
      <c r="AD67" s="238">
        <v>101.51</v>
      </c>
      <c r="AE67" s="312">
        <v>726.49</v>
      </c>
      <c r="AF67" s="238"/>
      <c r="AG67" s="239">
        <v>84</v>
      </c>
      <c r="AH67" s="239">
        <v>150</v>
      </c>
      <c r="AI67" s="239">
        <v>5</v>
      </c>
    </row>
    <row r="68" spans="25:35">
      <c r="Y68" s="310" t="s">
        <v>185</v>
      </c>
      <c r="Z68" s="256" t="s">
        <v>184</v>
      </c>
      <c r="AA68" s="311">
        <v>42125</v>
      </c>
      <c r="AB68" s="238">
        <v>432</v>
      </c>
      <c r="AC68" s="238">
        <v>732</v>
      </c>
      <c r="AD68" s="238">
        <v>89.75</v>
      </c>
      <c r="AE68" s="312">
        <v>642.25</v>
      </c>
      <c r="AF68" s="238"/>
      <c r="AG68" s="239">
        <v>72</v>
      </c>
      <c r="AH68" s="239">
        <v>150</v>
      </c>
      <c r="AI68" s="239">
        <v>5</v>
      </c>
    </row>
    <row r="69" spans="25:35">
      <c r="Y69" s="310" t="s">
        <v>183</v>
      </c>
      <c r="Z69" s="256" t="s">
        <v>74</v>
      </c>
      <c r="AA69" s="311">
        <v>42499</v>
      </c>
      <c r="AB69" s="238">
        <v>576</v>
      </c>
      <c r="AC69" s="238">
        <v>923.59</v>
      </c>
      <c r="AD69" s="238">
        <v>120.07</v>
      </c>
      <c r="AE69" s="312">
        <v>803.52</v>
      </c>
      <c r="AF69" s="238"/>
      <c r="AG69" s="239">
        <v>96</v>
      </c>
      <c r="AH69" s="239">
        <v>149.59</v>
      </c>
      <c r="AI69" s="239">
        <v>5</v>
      </c>
    </row>
    <row r="70" spans="25:35">
      <c r="Y70" s="310" t="s">
        <v>182</v>
      </c>
      <c r="Z70" s="256" t="s">
        <v>51</v>
      </c>
      <c r="AA70" s="311">
        <v>42375</v>
      </c>
      <c r="AB70" s="238">
        <v>624</v>
      </c>
      <c r="AC70" s="238">
        <v>931.6</v>
      </c>
      <c r="AD70" s="238">
        <v>121.11</v>
      </c>
      <c r="AE70" s="312">
        <v>810.49</v>
      </c>
      <c r="AF70" s="238"/>
      <c r="AG70" s="239">
        <v>104</v>
      </c>
      <c r="AH70" s="239">
        <v>93.6</v>
      </c>
      <c r="AI70" s="239">
        <v>5</v>
      </c>
    </row>
    <row r="71" spans="25:35">
      <c r="Y71" s="310" t="s">
        <v>181</v>
      </c>
      <c r="Z71" s="256" t="s">
        <v>180</v>
      </c>
      <c r="AA71" s="311">
        <v>42375</v>
      </c>
      <c r="AB71" s="238">
        <v>492</v>
      </c>
      <c r="AC71" s="238">
        <v>812</v>
      </c>
      <c r="AD71" s="238">
        <v>105.56</v>
      </c>
      <c r="AE71" s="312">
        <v>706.44</v>
      </c>
      <c r="AF71" s="238"/>
      <c r="AG71" s="239">
        <v>82</v>
      </c>
      <c r="AH71" s="239">
        <v>150</v>
      </c>
      <c r="AI71" s="239">
        <v>5</v>
      </c>
    </row>
    <row r="72" spans="25:35">
      <c r="Y72" s="310" t="s">
        <v>179</v>
      </c>
      <c r="Z72" s="256" t="s">
        <v>49</v>
      </c>
      <c r="AA72" s="311">
        <v>42897</v>
      </c>
      <c r="AB72" s="238">
        <v>12</v>
      </c>
      <c r="AC72" s="238">
        <v>23.2</v>
      </c>
      <c r="AD72" s="238">
        <v>2.89</v>
      </c>
      <c r="AE72" s="312">
        <v>20.309999999999999</v>
      </c>
      <c r="AF72" s="238"/>
      <c r="AG72" s="239">
        <v>2</v>
      </c>
      <c r="AH72" s="239">
        <v>6</v>
      </c>
      <c r="AI72" s="239">
        <v>1</v>
      </c>
    </row>
    <row r="73" spans="25:35">
      <c r="Y73" s="310" t="s">
        <v>178</v>
      </c>
      <c r="Z73" s="256" t="s">
        <v>177</v>
      </c>
      <c r="AA73" s="311" t="s">
        <v>176</v>
      </c>
      <c r="AB73" s="238">
        <v>444</v>
      </c>
      <c r="AC73" s="238">
        <v>748</v>
      </c>
      <c r="AD73" s="238">
        <v>97.24</v>
      </c>
      <c r="AE73" s="312">
        <v>650.76</v>
      </c>
      <c r="AF73" s="238"/>
      <c r="AG73" s="239">
        <v>74</v>
      </c>
      <c r="AH73" s="239">
        <v>150</v>
      </c>
      <c r="AI73" s="239">
        <v>5</v>
      </c>
    </row>
    <row r="74" spans="25:35">
      <c r="Y74" s="310" t="s">
        <v>175</v>
      </c>
      <c r="Z74" s="256" t="s">
        <v>57</v>
      </c>
      <c r="AA74" s="311">
        <v>42889</v>
      </c>
      <c r="AB74" s="238">
        <v>528</v>
      </c>
      <c r="AC74" s="238">
        <v>860</v>
      </c>
      <c r="AD74" s="238">
        <v>100.97</v>
      </c>
      <c r="AE74" s="312">
        <v>759.03</v>
      </c>
      <c r="AF74" s="238"/>
      <c r="AG74" s="239">
        <v>88</v>
      </c>
      <c r="AH74" s="239">
        <v>150</v>
      </c>
      <c r="AI74" s="239">
        <v>5</v>
      </c>
    </row>
    <row r="75" spans="25:35">
      <c r="Y75" s="313"/>
      <c r="Z75" s="314"/>
      <c r="AA75" s="315"/>
      <c r="AB75" s="316">
        <f>SUM(AB59:AB74)</f>
        <v>6358.28</v>
      </c>
      <c r="AC75" s="316">
        <f>SUM(AC59:AC74)</f>
        <v>10196.490000000002</v>
      </c>
      <c r="AD75" s="316">
        <f>SUM(AD59:AD74)</f>
        <v>1302.6800000000003</v>
      </c>
      <c r="AE75" s="317">
        <f>SUM(AE59:AE74)</f>
        <v>8893.8100000000013</v>
      </c>
      <c r="AF75" s="234"/>
      <c r="AG75" s="235">
        <f>SUM(AG59:AG74)</f>
        <v>1059.71</v>
      </c>
      <c r="AH75" s="235">
        <f>SUM(AH59:AH74)</f>
        <v>1638.3899999999999</v>
      </c>
      <c r="AI75" s="235">
        <f>SUM(AI59:AI74)</f>
        <v>67</v>
      </c>
    </row>
  </sheetData>
  <mergeCells count="4">
    <mergeCell ref="I2:R2"/>
    <mergeCell ref="K3:N3"/>
    <mergeCell ref="O3:P3"/>
    <mergeCell ref="S3:U3"/>
  </mergeCells>
  <conditionalFormatting sqref="R41 R5:R6">
    <cfRule type="cellIs" dxfId="13" priority="1" operator="lessThanOrEqual">
      <formula>0</formula>
    </cfRule>
  </conditionalFormatting>
  <printOptions horizontalCentered="1"/>
  <pageMargins left="0" right="0" top="0.42" bottom="0" header="0.31496062992125984" footer="0.31496062992125984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5"/>
  <sheetViews>
    <sheetView zoomScale="85" zoomScaleNormal="85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H29" sqref="H29"/>
    </sheetView>
  </sheetViews>
  <sheetFormatPr baseColWidth="10" defaultRowHeight="15"/>
  <cols>
    <col min="1" max="1" width="5.7109375" customWidth="1"/>
    <col min="2" max="2" width="0" hidden="1" customWidth="1"/>
    <col min="3" max="3" width="20.7109375" hidden="1" customWidth="1"/>
    <col min="4" max="4" width="20.7109375" style="1" hidden="1" customWidth="1"/>
    <col min="5" max="5" width="13.28515625" hidden="1" customWidth="1"/>
    <col min="6" max="6" width="10.42578125" style="2" hidden="1" customWidth="1"/>
    <col min="7" max="7" width="25.28515625" hidden="1" customWidth="1"/>
    <col min="8" max="8" width="12.5703125" bestFit="1" customWidth="1"/>
    <col min="9" max="9" width="8.7109375" customWidth="1"/>
    <col min="10" max="10" width="24.140625" customWidth="1"/>
    <col min="11" max="11" width="8.7109375" customWidth="1"/>
    <col min="12" max="12" width="10.7109375" bestFit="1" customWidth="1"/>
    <col min="13" max="13" width="8.7109375" customWidth="1"/>
    <col min="14" max="14" width="10.7109375" customWidth="1"/>
    <col min="15" max="15" width="8.7109375" customWidth="1"/>
    <col min="16" max="16" width="11.42578125" customWidth="1"/>
    <col min="17" max="17" width="11.7109375" customWidth="1"/>
    <col min="18" max="18" width="12.5703125" bestFit="1" customWidth="1"/>
    <col min="19" max="19" width="2.7109375" customWidth="1"/>
    <col min="20" max="20" width="13.28515625" customWidth="1"/>
    <col min="21" max="21" width="11.5703125" style="181" customWidth="1"/>
    <col min="22" max="22" width="10.7109375" customWidth="1"/>
    <col min="23" max="23" width="20.7109375" customWidth="1"/>
    <col min="24" max="24" width="2" customWidth="1"/>
    <col min="25" max="25" width="11.85546875" customWidth="1"/>
    <col min="26" max="26" width="20" customWidth="1"/>
    <col min="27" max="27" width="11.7109375" customWidth="1"/>
    <col min="28" max="28" width="11" customWidth="1"/>
    <col min="29" max="29" width="10.7109375" customWidth="1"/>
    <col min="30" max="30" width="10.42578125" customWidth="1"/>
    <col min="31" max="31" width="12.28515625" customWidth="1"/>
    <col min="32" max="32" width="9.42578125" customWidth="1"/>
    <col min="33" max="33" width="9.85546875" customWidth="1"/>
    <col min="34" max="34" width="9.5703125" customWidth="1"/>
  </cols>
  <sheetData>
    <row r="1" spans="8:32" ht="5.0999999999999996" customHeight="1"/>
    <row r="2" spans="8:32">
      <c r="H2" s="357"/>
      <c r="I2" s="409" t="s">
        <v>245</v>
      </c>
      <c r="J2" s="409"/>
      <c r="K2" s="409"/>
      <c r="L2" s="409"/>
      <c r="M2" s="409"/>
      <c r="N2" s="409"/>
      <c r="O2" s="409"/>
      <c r="P2" s="409"/>
      <c r="Q2" s="409"/>
      <c r="R2" s="409"/>
      <c r="S2" s="357"/>
      <c r="T2" s="359"/>
      <c r="U2" s="357"/>
    </row>
    <row r="3" spans="8:32">
      <c r="H3" s="357"/>
      <c r="I3" s="358"/>
      <c r="J3" s="358"/>
      <c r="K3" s="410" t="s">
        <v>58</v>
      </c>
      <c r="L3" s="411"/>
      <c r="M3" s="411"/>
      <c r="N3" s="412"/>
      <c r="O3" s="411" t="s">
        <v>59</v>
      </c>
      <c r="P3" s="412"/>
      <c r="Q3" s="358"/>
      <c r="R3" s="358"/>
      <c r="S3" s="415">
        <f ca="1">+TODAY()</f>
        <v>43292</v>
      </c>
      <c r="T3" s="416"/>
      <c r="U3" s="416"/>
    </row>
    <row r="4" spans="8:32" ht="34.5">
      <c r="H4" s="357"/>
      <c r="I4" s="360" t="s">
        <v>11</v>
      </c>
      <c r="J4" s="360" t="s">
        <v>3</v>
      </c>
      <c r="K4" s="361" t="s">
        <v>23</v>
      </c>
      <c r="L4" s="361" t="s">
        <v>77</v>
      </c>
      <c r="M4" s="364" t="s">
        <v>23</v>
      </c>
      <c r="N4" s="364" t="s">
        <v>248</v>
      </c>
      <c r="O4" s="363" t="s">
        <v>23</v>
      </c>
      <c r="P4" s="363" t="s">
        <v>246</v>
      </c>
      <c r="Q4" s="364" t="s">
        <v>247</v>
      </c>
      <c r="R4" s="365" t="s">
        <v>60</v>
      </c>
      <c r="S4" s="366"/>
      <c r="T4" s="357"/>
      <c r="U4" s="357"/>
    </row>
    <row r="5" spans="8:32">
      <c r="H5" s="357"/>
      <c r="I5" s="16" t="s">
        <v>61</v>
      </c>
      <c r="J5" s="349" t="s">
        <v>62</v>
      </c>
      <c r="K5" s="18"/>
      <c r="L5" s="184">
        <f>+K5*3</f>
        <v>0</v>
      </c>
      <c r="M5" s="117"/>
      <c r="N5" s="23">
        <v>0</v>
      </c>
      <c r="O5" s="330"/>
      <c r="P5" s="331"/>
      <c r="Q5" s="210"/>
      <c r="R5" s="211">
        <f>+L5+N5+P5+Q5</f>
        <v>0</v>
      </c>
      <c r="S5" s="7"/>
      <c r="T5" s="137">
        <v>968</v>
      </c>
      <c r="U5" s="182">
        <v>125.45</v>
      </c>
      <c r="V5" s="139">
        <v>842.55</v>
      </c>
      <c r="W5" s="280" t="s">
        <v>231</v>
      </c>
      <c r="Y5" s="289" t="s">
        <v>234</v>
      </c>
      <c r="Z5" s="169"/>
      <c r="AA5" s="169"/>
      <c r="AB5" s="169"/>
      <c r="AC5" s="169" t="s">
        <v>229</v>
      </c>
      <c r="AD5" s="169" t="s">
        <v>213</v>
      </c>
      <c r="AE5" s="169"/>
      <c r="AF5" s="169"/>
    </row>
    <row r="6" spans="8:32">
      <c r="H6" s="357"/>
      <c r="I6" s="347" t="s">
        <v>4</v>
      </c>
      <c r="J6" s="350" t="s">
        <v>12</v>
      </c>
      <c r="K6" s="18"/>
      <c r="L6" s="185">
        <f>+K6*3</f>
        <v>0</v>
      </c>
      <c r="M6" s="22"/>
      <c r="N6" s="23">
        <v>0</v>
      </c>
      <c r="O6" s="330"/>
      <c r="P6" s="331"/>
      <c r="Q6" s="196"/>
      <c r="R6" s="209">
        <f t="shared" ref="R6:R42" si="0">+L6+N6+P6+Q6</f>
        <v>0</v>
      </c>
      <c r="S6" s="7"/>
      <c r="T6" s="140">
        <f>+U6+V6</f>
        <v>827.2031333452021</v>
      </c>
      <c r="U6" s="284">
        <f>+U5*V6/V5</f>
        <v>107.20313334520208</v>
      </c>
      <c r="V6" s="141">
        <v>720</v>
      </c>
      <c r="W6" s="161"/>
      <c r="Y6" s="169" t="s">
        <v>228</v>
      </c>
      <c r="Z6" s="169" t="s">
        <v>227</v>
      </c>
      <c r="AA6" s="169"/>
      <c r="AB6" s="169"/>
      <c r="AC6" s="169" t="s">
        <v>226</v>
      </c>
      <c r="AD6" s="169" t="s">
        <v>213</v>
      </c>
      <c r="AE6" s="169"/>
      <c r="AF6" s="169"/>
    </row>
    <row r="7" spans="8:32">
      <c r="H7" s="357"/>
      <c r="I7" s="113" t="s">
        <v>1</v>
      </c>
      <c r="J7" s="351" t="s">
        <v>56</v>
      </c>
      <c r="K7" s="120"/>
      <c r="L7" s="215">
        <f>+K7*3</f>
        <v>0</v>
      </c>
      <c r="M7" s="117"/>
      <c r="N7" s="31">
        <v>0</v>
      </c>
      <c r="O7" s="332"/>
      <c r="P7" s="333">
        <f>IF(O7&gt;25,150,(O7)*6)</f>
        <v>0</v>
      </c>
      <c r="Q7" s="196"/>
      <c r="R7" s="23">
        <f t="shared" si="0"/>
        <v>0</v>
      </c>
      <c r="S7" s="7"/>
      <c r="T7" s="142">
        <f>+T5-T6</f>
        <v>140.7968666547979</v>
      </c>
      <c r="U7" s="183"/>
      <c r="V7" s="143"/>
      <c r="W7" s="4" t="s">
        <v>145</v>
      </c>
      <c r="Y7" s="169" t="s">
        <v>225</v>
      </c>
      <c r="Z7" s="169" t="s">
        <v>224</v>
      </c>
      <c r="AA7" s="169" t="s">
        <v>223</v>
      </c>
      <c r="AB7" s="169">
        <v>43256</v>
      </c>
      <c r="AC7" s="169" t="s">
        <v>222</v>
      </c>
      <c r="AD7" s="169">
        <v>2018</v>
      </c>
      <c r="AE7" s="169"/>
      <c r="AF7" s="169"/>
    </row>
    <row r="8" spans="8:32">
      <c r="H8" s="357"/>
      <c r="I8" s="113" t="s">
        <v>2</v>
      </c>
      <c r="J8" s="351" t="s">
        <v>47</v>
      </c>
      <c r="K8" s="115"/>
      <c r="L8" s="215"/>
      <c r="M8" s="117"/>
      <c r="N8" s="31">
        <f>+M8*3</f>
        <v>0</v>
      </c>
      <c r="O8" s="332">
        <v>37</v>
      </c>
      <c r="P8" s="333">
        <f>IF(O8&gt;25,150,(O8)*6)</f>
        <v>150</v>
      </c>
      <c r="Q8" s="195"/>
      <c r="R8" s="228">
        <f t="shared" si="0"/>
        <v>150</v>
      </c>
      <c r="S8" s="7"/>
      <c r="T8" s="144">
        <v>150</v>
      </c>
      <c r="U8" s="163">
        <f>+T8-T7</f>
        <v>9.2031333452021045</v>
      </c>
      <c r="V8" s="164" t="s">
        <v>232</v>
      </c>
      <c r="W8" s="9">
        <f>150-U8</f>
        <v>140.7968666547979</v>
      </c>
      <c r="Y8" s="169" t="s">
        <v>221</v>
      </c>
      <c r="Z8" s="169" t="s">
        <v>220</v>
      </c>
      <c r="AA8" s="169" t="s">
        <v>219</v>
      </c>
      <c r="AB8" s="169" t="s">
        <v>218</v>
      </c>
      <c r="AC8" s="169" t="s">
        <v>217</v>
      </c>
      <c r="AD8" s="169">
        <v>43348</v>
      </c>
      <c r="AE8" s="169"/>
      <c r="AF8" s="169"/>
    </row>
    <row r="9" spans="8:32">
      <c r="H9" s="357"/>
      <c r="I9" s="347" t="s">
        <v>0</v>
      </c>
      <c r="J9" s="350" t="s">
        <v>7</v>
      </c>
      <c r="K9" s="18"/>
      <c r="L9" s="213">
        <f>+K9*5</f>
        <v>0</v>
      </c>
      <c r="M9" s="22"/>
      <c r="N9" s="23">
        <f>5*M9</f>
        <v>0</v>
      </c>
      <c r="O9" s="330"/>
      <c r="P9" s="331">
        <v>0</v>
      </c>
      <c r="Q9" s="196"/>
      <c r="R9" s="23">
        <f t="shared" si="0"/>
        <v>0</v>
      </c>
      <c r="S9" s="7"/>
      <c r="T9" s="26"/>
      <c r="W9" s="162"/>
      <c r="Y9" s="267" t="s">
        <v>216</v>
      </c>
      <c r="Z9" s="267" t="s">
        <v>215</v>
      </c>
      <c r="AA9" s="267" t="s">
        <v>214</v>
      </c>
      <c r="AB9" s="267" t="s">
        <v>213</v>
      </c>
      <c r="AC9" s="267" t="s">
        <v>212</v>
      </c>
      <c r="AD9" s="267" t="s">
        <v>211</v>
      </c>
      <c r="AE9" s="267"/>
      <c r="AF9" s="267"/>
    </row>
    <row r="10" spans="8:32" ht="17.25" thickBot="1">
      <c r="H10" s="357"/>
      <c r="I10" s="347" t="s">
        <v>5</v>
      </c>
      <c r="J10" s="352" t="s">
        <v>71</v>
      </c>
      <c r="K10" s="18"/>
      <c r="L10" s="213">
        <f>+K10*3</f>
        <v>0</v>
      </c>
      <c r="M10" s="348"/>
      <c r="N10" s="31">
        <f>+M10*3</f>
        <v>0</v>
      </c>
      <c r="O10" s="334"/>
      <c r="P10" s="333">
        <f t="shared" ref="P10:P29" si="1">IF(O10&gt;25,150,(O10)*6)</f>
        <v>0</v>
      </c>
      <c r="Q10" s="196"/>
      <c r="R10" s="228">
        <f t="shared" si="0"/>
        <v>0</v>
      </c>
      <c r="S10" s="7"/>
      <c r="T10" s="137">
        <v>828</v>
      </c>
      <c r="U10" s="182">
        <v>107.64</v>
      </c>
      <c r="V10" s="139">
        <v>720.36</v>
      </c>
      <c r="W10" s="280" t="s">
        <v>74</v>
      </c>
      <c r="Y10" s="265" t="s">
        <v>210</v>
      </c>
      <c r="Z10" s="265" t="s">
        <v>209</v>
      </c>
      <c r="AA10" s="266" t="s">
        <v>208</v>
      </c>
      <c r="AB10" s="266" t="s">
        <v>207</v>
      </c>
      <c r="AC10" s="266" t="s">
        <v>206</v>
      </c>
      <c r="AD10" s="266" t="s">
        <v>205</v>
      </c>
      <c r="AE10" s="266" t="s">
        <v>204</v>
      </c>
      <c r="AF10" s="266" t="s">
        <v>203</v>
      </c>
    </row>
    <row r="11" spans="8:32">
      <c r="H11" s="357"/>
      <c r="I11" s="347" t="s">
        <v>27</v>
      </c>
      <c r="J11" s="352" t="s">
        <v>28</v>
      </c>
      <c r="K11" s="18"/>
      <c r="L11" s="213">
        <v>0</v>
      </c>
      <c r="M11" s="348"/>
      <c r="N11" s="31">
        <v>0</v>
      </c>
      <c r="O11" s="334"/>
      <c r="P11" s="333">
        <f t="shared" si="1"/>
        <v>0</v>
      </c>
      <c r="Q11" s="195"/>
      <c r="R11" s="31">
        <f t="shared" si="0"/>
        <v>0</v>
      </c>
      <c r="S11" s="7"/>
      <c r="T11" s="140">
        <f>+U11+V11</f>
        <v>827.58620689655174</v>
      </c>
      <c r="U11" s="284">
        <f>+U10*V11/V10</f>
        <v>107.58620689655173</v>
      </c>
      <c r="V11" s="141">
        <v>720</v>
      </c>
      <c r="W11" s="162"/>
      <c r="Y11" s="240" t="s">
        <v>202</v>
      </c>
      <c r="Z11" s="10" t="s">
        <v>201</v>
      </c>
      <c r="AA11" s="232">
        <v>43102</v>
      </c>
      <c r="AB11" s="239">
        <v>444</v>
      </c>
      <c r="AC11" s="281">
        <v>674</v>
      </c>
      <c r="AD11" s="239">
        <v>87.62</v>
      </c>
      <c r="AE11" s="239">
        <v>586.38</v>
      </c>
      <c r="AF11" s="238">
        <f t="shared" ref="AF11:AF26" si="2">720-AE11</f>
        <v>133.62</v>
      </c>
    </row>
    <row r="12" spans="8:32">
      <c r="H12" s="357"/>
      <c r="I12" s="347" t="s">
        <v>8</v>
      </c>
      <c r="J12" s="352" t="s">
        <v>29</v>
      </c>
      <c r="K12" s="35"/>
      <c r="L12" s="213"/>
      <c r="M12" s="348"/>
      <c r="N12" s="31">
        <v>0</v>
      </c>
      <c r="O12" s="334"/>
      <c r="P12" s="333">
        <f t="shared" si="1"/>
        <v>0</v>
      </c>
      <c r="Q12" s="195"/>
      <c r="R12" s="228">
        <f t="shared" si="0"/>
        <v>0</v>
      </c>
      <c r="S12" s="7"/>
      <c r="T12" s="142">
        <f>+T10-T11</f>
        <v>0.41379310344825626</v>
      </c>
      <c r="U12" s="183"/>
      <c r="V12" s="143"/>
      <c r="W12" s="4" t="s">
        <v>145</v>
      </c>
      <c r="Y12" s="240" t="s">
        <v>200</v>
      </c>
      <c r="Z12" s="10" t="s">
        <v>199</v>
      </c>
      <c r="AA12" s="232">
        <v>42837</v>
      </c>
      <c r="AB12" s="239">
        <v>204</v>
      </c>
      <c r="AC12" s="281">
        <v>344.8</v>
      </c>
      <c r="AD12" s="239">
        <v>44.82</v>
      </c>
      <c r="AE12" s="239">
        <v>299.98</v>
      </c>
      <c r="AF12" s="238">
        <f t="shared" si="2"/>
        <v>420.02</v>
      </c>
    </row>
    <row r="13" spans="8:32">
      <c r="H13" s="357"/>
      <c r="I13" s="347" t="s">
        <v>63</v>
      </c>
      <c r="J13" s="352" t="s">
        <v>33</v>
      </c>
      <c r="K13" s="35"/>
      <c r="L13" s="213"/>
      <c r="M13" s="348"/>
      <c r="N13" s="31">
        <f>+M13*3</f>
        <v>0</v>
      </c>
      <c r="O13" s="334">
        <v>25</v>
      </c>
      <c r="P13" s="333">
        <f t="shared" si="1"/>
        <v>150</v>
      </c>
      <c r="Q13" s="195"/>
      <c r="R13" s="228">
        <f t="shared" si="0"/>
        <v>150</v>
      </c>
      <c r="S13" s="7"/>
      <c r="T13" s="144">
        <v>150</v>
      </c>
      <c r="U13" s="163">
        <f>+T13-T12</f>
        <v>149.58620689655174</v>
      </c>
      <c r="V13" s="164" t="s">
        <v>232</v>
      </c>
      <c r="W13" s="9">
        <f>150-U13</f>
        <v>0.41379310344825626</v>
      </c>
      <c r="Y13" s="240" t="s">
        <v>198</v>
      </c>
      <c r="Z13" s="10" t="s">
        <v>143</v>
      </c>
      <c r="AA13" s="232">
        <v>42837</v>
      </c>
      <c r="AB13" s="239">
        <v>540</v>
      </c>
      <c r="AC13" s="281">
        <v>786</v>
      </c>
      <c r="AD13" s="239">
        <v>102.18</v>
      </c>
      <c r="AE13" s="239">
        <v>683.82</v>
      </c>
      <c r="AF13" s="238">
        <f t="shared" si="2"/>
        <v>36.17999999999995</v>
      </c>
    </row>
    <row r="14" spans="8:32">
      <c r="H14" s="357"/>
      <c r="I14" s="347" t="s">
        <v>24</v>
      </c>
      <c r="J14" s="352" t="s">
        <v>30</v>
      </c>
      <c r="K14" s="18"/>
      <c r="L14" s="213">
        <v>0</v>
      </c>
      <c r="M14" s="348"/>
      <c r="N14" s="31">
        <v>0</v>
      </c>
      <c r="O14" s="334"/>
      <c r="P14" s="333">
        <f t="shared" si="1"/>
        <v>0</v>
      </c>
      <c r="Q14" s="195"/>
      <c r="R14" s="31">
        <f t="shared" si="0"/>
        <v>0</v>
      </c>
      <c r="S14" s="7"/>
      <c r="T14" s="26"/>
      <c r="W14" s="162"/>
      <c r="Y14" s="240" t="s">
        <v>197</v>
      </c>
      <c r="Z14" s="10" t="s">
        <v>196</v>
      </c>
      <c r="AA14" s="232">
        <v>42046</v>
      </c>
      <c r="AB14" s="239">
        <v>274.27999999999997</v>
      </c>
      <c r="AC14" s="281">
        <v>323.58999999999997</v>
      </c>
      <c r="AD14" s="239">
        <v>42.07</v>
      </c>
      <c r="AE14" s="239">
        <v>281.52</v>
      </c>
      <c r="AF14" s="238">
        <f t="shared" si="2"/>
        <v>438.48</v>
      </c>
    </row>
    <row r="15" spans="8:32">
      <c r="H15" s="357"/>
      <c r="I15" s="347" t="s">
        <v>18</v>
      </c>
      <c r="J15" s="350" t="s">
        <v>72</v>
      </c>
      <c r="K15" s="18"/>
      <c r="L15" s="213">
        <f>+K15*3</f>
        <v>0</v>
      </c>
      <c r="M15" s="348"/>
      <c r="N15" s="31">
        <f>+M15*3</f>
        <v>0</v>
      </c>
      <c r="O15" s="334"/>
      <c r="P15" s="333">
        <f t="shared" si="1"/>
        <v>0</v>
      </c>
      <c r="Q15" s="196"/>
      <c r="R15" s="31">
        <f t="shared" si="0"/>
        <v>0</v>
      </c>
      <c r="S15" s="7"/>
      <c r="T15" s="137">
        <v>884</v>
      </c>
      <c r="U15" s="182">
        <v>114.92</v>
      </c>
      <c r="V15" s="139">
        <v>769.08</v>
      </c>
      <c r="W15" s="280" t="s">
        <v>51</v>
      </c>
      <c r="Y15" s="240" t="s">
        <v>195</v>
      </c>
      <c r="Z15" s="10" t="s">
        <v>194</v>
      </c>
      <c r="AA15" s="232">
        <v>42801</v>
      </c>
      <c r="AB15" s="239">
        <v>144</v>
      </c>
      <c r="AC15" s="281">
        <v>243.6</v>
      </c>
      <c r="AD15" s="239">
        <v>31.67</v>
      </c>
      <c r="AE15" s="239">
        <v>211.93</v>
      </c>
      <c r="AF15" s="238">
        <f t="shared" si="2"/>
        <v>508.07</v>
      </c>
    </row>
    <row r="16" spans="8:32">
      <c r="H16" s="357"/>
      <c r="I16" s="347" t="s">
        <v>31</v>
      </c>
      <c r="J16" s="352" t="s">
        <v>32</v>
      </c>
      <c r="K16" s="35"/>
      <c r="L16" s="213"/>
      <c r="M16" s="348"/>
      <c r="N16" s="31">
        <f t="shared" ref="N16:N27" si="3">+M16*3</f>
        <v>0</v>
      </c>
      <c r="O16" s="334">
        <v>31</v>
      </c>
      <c r="P16" s="333">
        <f t="shared" si="1"/>
        <v>150</v>
      </c>
      <c r="Q16" s="195"/>
      <c r="R16" s="228">
        <f t="shared" si="0"/>
        <v>150</v>
      </c>
      <c r="S16" s="7"/>
      <c r="T16" s="140">
        <f>+U16+V16</f>
        <v>827.58620689655174</v>
      </c>
      <c r="U16" s="284">
        <f>+U15*V16/V15</f>
        <v>107.58620689655172</v>
      </c>
      <c r="V16" s="141">
        <v>720</v>
      </c>
      <c r="W16" s="162"/>
      <c r="Y16" s="240" t="s">
        <v>193</v>
      </c>
      <c r="Z16" s="10" t="s">
        <v>192</v>
      </c>
      <c r="AA16" s="232">
        <v>42499</v>
      </c>
      <c r="AB16" s="239">
        <v>12</v>
      </c>
      <c r="AC16" s="281">
        <v>21.2</v>
      </c>
      <c r="AD16" s="239">
        <v>2.76</v>
      </c>
      <c r="AE16" s="239">
        <v>18.440000000000001</v>
      </c>
      <c r="AF16" s="238">
        <f t="shared" si="2"/>
        <v>701.56</v>
      </c>
    </row>
    <row r="17" spans="1:32">
      <c r="H17" s="357"/>
      <c r="I17" s="347" t="s">
        <v>54</v>
      </c>
      <c r="J17" s="352" t="s">
        <v>55</v>
      </c>
      <c r="K17" s="18"/>
      <c r="L17" s="213">
        <f>+K17*3</f>
        <v>0</v>
      </c>
      <c r="M17" s="348"/>
      <c r="N17" s="31">
        <f t="shared" si="3"/>
        <v>0</v>
      </c>
      <c r="O17" s="334"/>
      <c r="P17" s="333">
        <f t="shared" si="1"/>
        <v>0</v>
      </c>
      <c r="Q17" s="195"/>
      <c r="R17" s="31">
        <f t="shared" si="0"/>
        <v>0</v>
      </c>
      <c r="S17" s="7"/>
      <c r="T17" s="142">
        <f>+T15-T16</f>
        <v>56.413793103448256</v>
      </c>
      <c r="U17" s="183"/>
      <c r="V17" s="143"/>
      <c r="W17" s="4" t="s">
        <v>145</v>
      </c>
      <c r="Y17" s="245" t="s">
        <v>191</v>
      </c>
      <c r="Z17" s="244" t="s">
        <v>190</v>
      </c>
      <c r="AA17" s="243">
        <v>42046</v>
      </c>
      <c r="AB17" s="242">
        <v>696</v>
      </c>
      <c r="AC17" s="282">
        <v>968</v>
      </c>
      <c r="AD17" s="242">
        <v>125.45</v>
      </c>
      <c r="AE17" s="241">
        <v>842.55</v>
      </c>
      <c r="AF17" s="319">
        <f t="shared" si="2"/>
        <v>-122.54999999999995</v>
      </c>
    </row>
    <row r="18" spans="1:32">
      <c r="H18" s="357"/>
      <c r="I18" s="113" t="s">
        <v>10</v>
      </c>
      <c r="J18" s="351" t="s">
        <v>34</v>
      </c>
      <c r="K18" s="115"/>
      <c r="L18" s="215"/>
      <c r="M18" s="117"/>
      <c r="N18" s="31">
        <f t="shared" si="3"/>
        <v>0</v>
      </c>
      <c r="O18" s="332">
        <v>28</v>
      </c>
      <c r="P18" s="333">
        <f t="shared" si="1"/>
        <v>150</v>
      </c>
      <c r="Q18" s="195"/>
      <c r="R18" s="228">
        <f t="shared" si="0"/>
        <v>150</v>
      </c>
      <c r="S18" s="7"/>
      <c r="T18" s="144">
        <v>150</v>
      </c>
      <c r="U18" s="163">
        <f>+T18-T17+0.01</f>
        <v>93.596206896551749</v>
      </c>
      <c r="V18" s="164" t="s">
        <v>232</v>
      </c>
      <c r="W18" s="9">
        <f>150-U18</f>
        <v>56.403793103448251</v>
      </c>
      <c r="Y18" s="240" t="s">
        <v>189</v>
      </c>
      <c r="Z18" s="10" t="s">
        <v>188</v>
      </c>
      <c r="AA18" s="232">
        <v>43347</v>
      </c>
      <c r="AB18" s="239">
        <v>432</v>
      </c>
      <c r="AC18" s="281">
        <v>660</v>
      </c>
      <c r="AD18" s="239">
        <v>85.8</v>
      </c>
      <c r="AE18" s="239">
        <v>574.20000000000005</v>
      </c>
      <c r="AF18" s="238">
        <f t="shared" si="2"/>
        <v>145.79999999999995</v>
      </c>
    </row>
    <row r="19" spans="1:32">
      <c r="H19" s="356" t="s">
        <v>166</v>
      </c>
      <c r="I19" s="83" t="s">
        <v>9</v>
      </c>
      <c r="J19" s="353" t="s">
        <v>35</v>
      </c>
      <c r="K19" s="222"/>
      <c r="L19" s="217"/>
      <c r="M19" s="367"/>
      <c r="N19" s="206">
        <f t="shared" si="3"/>
        <v>0</v>
      </c>
      <c r="O19" s="88">
        <v>34</v>
      </c>
      <c r="P19" s="89">
        <f t="shared" si="1"/>
        <v>150</v>
      </c>
      <c r="Q19" s="197"/>
      <c r="R19" s="89">
        <f t="shared" si="0"/>
        <v>150</v>
      </c>
      <c r="S19" s="7"/>
      <c r="T19" s="26"/>
      <c r="W19" s="162"/>
      <c r="Y19" s="240" t="s">
        <v>187</v>
      </c>
      <c r="Z19" s="10" t="s">
        <v>186</v>
      </c>
      <c r="AA19" s="232">
        <v>42837</v>
      </c>
      <c r="AB19" s="239">
        <v>504</v>
      </c>
      <c r="AC19" s="281">
        <v>744</v>
      </c>
      <c r="AD19" s="239">
        <v>91.22</v>
      </c>
      <c r="AE19" s="239">
        <v>652.78</v>
      </c>
      <c r="AF19" s="238">
        <f t="shared" si="2"/>
        <v>67.220000000000027</v>
      </c>
    </row>
    <row r="20" spans="1:32">
      <c r="H20" s="356" t="s">
        <v>166</v>
      </c>
      <c r="I20" s="83" t="s">
        <v>36</v>
      </c>
      <c r="J20" s="353" t="s">
        <v>37</v>
      </c>
      <c r="K20" s="222"/>
      <c r="L20" s="217"/>
      <c r="M20" s="367"/>
      <c r="N20" s="206">
        <f t="shared" si="3"/>
        <v>0</v>
      </c>
      <c r="O20" s="88">
        <v>25</v>
      </c>
      <c r="P20" s="89">
        <f t="shared" si="1"/>
        <v>150</v>
      </c>
      <c r="Q20" s="197"/>
      <c r="R20" s="89">
        <f t="shared" si="0"/>
        <v>150</v>
      </c>
      <c r="S20" s="7"/>
      <c r="T20" s="268"/>
      <c r="U20" s="269"/>
      <c r="V20" s="270"/>
      <c r="W20" s="271"/>
      <c r="Y20" s="240" t="s">
        <v>185</v>
      </c>
      <c r="Z20" s="10" t="s">
        <v>184</v>
      </c>
      <c r="AA20" s="232">
        <v>42125</v>
      </c>
      <c r="AB20" s="239">
        <v>432</v>
      </c>
      <c r="AC20" s="281">
        <v>660</v>
      </c>
      <c r="AD20" s="239">
        <v>80.92</v>
      </c>
      <c r="AE20" s="239">
        <v>579.08000000000004</v>
      </c>
      <c r="AF20" s="238">
        <f t="shared" si="2"/>
        <v>140.91999999999996</v>
      </c>
    </row>
    <row r="21" spans="1:32">
      <c r="H21" s="357"/>
      <c r="I21" s="347" t="s">
        <v>64</v>
      </c>
      <c r="J21" s="352" t="s">
        <v>65</v>
      </c>
      <c r="K21" s="35"/>
      <c r="L21" s="213"/>
      <c r="M21" s="348"/>
      <c r="N21" s="31">
        <v>0</v>
      </c>
      <c r="O21" s="334">
        <v>29</v>
      </c>
      <c r="P21" s="333">
        <f t="shared" si="1"/>
        <v>150</v>
      </c>
      <c r="Q21" s="195"/>
      <c r="R21" s="228">
        <f t="shared" si="0"/>
        <v>150</v>
      </c>
      <c r="S21" s="7"/>
      <c r="T21" s="268"/>
      <c r="U21" s="269"/>
      <c r="V21" s="272"/>
      <c r="W21" s="273"/>
      <c r="Y21" s="245" t="s">
        <v>183</v>
      </c>
      <c r="Z21" s="244" t="s">
        <v>74</v>
      </c>
      <c r="AA21" s="243">
        <v>42499</v>
      </c>
      <c r="AB21" s="242">
        <v>576</v>
      </c>
      <c r="AC21" s="282">
        <v>828</v>
      </c>
      <c r="AD21" s="242">
        <v>107.64</v>
      </c>
      <c r="AE21" s="241">
        <v>720.36</v>
      </c>
      <c r="AF21" s="319">
        <f t="shared" si="2"/>
        <v>-0.36000000000001364</v>
      </c>
    </row>
    <row r="22" spans="1:32">
      <c r="H22" s="357"/>
      <c r="I22" s="347" t="s">
        <v>13</v>
      </c>
      <c r="J22" s="352" t="s">
        <v>38</v>
      </c>
      <c r="K22" s="35"/>
      <c r="L22" s="213"/>
      <c r="M22" s="348"/>
      <c r="N22" s="31">
        <f t="shared" si="3"/>
        <v>0</v>
      </c>
      <c r="O22" s="334">
        <v>31</v>
      </c>
      <c r="P22" s="333">
        <f t="shared" si="1"/>
        <v>150</v>
      </c>
      <c r="Q22" s="195"/>
      <c r="R22" s="228">
        <f t="shared" si="0"/>
        <v>150</v>
      </c>
      <c r="S22" s="7"/>
      <c r="T22" s="274"/>
      <c r="U22" s="269"/>
      <c r="V22" s="270"/>
      <c r="W22" s="275"/>
      <c r="Y22" s="245" t="s">
        <v>182</v>
      </c>
      <c r="Z22" s="244" t="s">
        <v>51</v>
      </c>
      <c r="AA22" s="243">
        <v>42375</v>
      </c>
      <c r="AB22" s="242">
        <v>624</v>
      </c>
      <c r="AC22" s="282">
        <v>884</v>
      </c>
      <c r="AD22" s="242">
        <v>114.92</v>
      </c>
      <c r="AE22" s="241">
        <v>769.08</v>
      </c>
      <c r="AF22" s="319">
        <f t="shared" si="2"/>
        <v>-49.080000000000041</v>
      </c>
    </row>
    <row r="23" spans="1:32">
      <c r="H23" s="357"/>
      <c r="I23" s="347" t="s">
        <v>39</v>
      </c>
      <c r="J23" s="352" t="s">
        <v>40</v>
      </c>
      <c r="K23" s="35"/>
      <c r="L23" s="213"/>
      <c r="M23" s="348"/>
      <c r="N23" s="31">
        <f t="shared" si="3"/>
        <v>0</v>
      </c>
      <c r="O23" s="334"/>
      <c r="P23" s="333">
        <f t="shared" si="1"/>
        <v>0</v>
      </c>
      <c r="Q23" s="195"/>
      <c r="R23" s="31">
        <f t="shared" si="0"/>
        <v>0</v>
      </c>
      <c r="S23" s="7"/>
      <c r="T23" s="268"/>
      <c r="U23" s="276"/>
      <c r="V23" s="277"/>
      <c r="W23" s="276"/>
      <c r="Y23" s="240" t="s">
        <v>181</v>
      </c>
      <c r="Z23" s="10" t="s">
        <v>180</v>
      </c>
      <c r="AA23" s="232">
        <v>42375</v>
      </c>
      <c r="AB23" s="239">
        <v>492</v>
      </c>
      <c r="AC23" s="281">
        <v>730</v>
      </c>
      <c r="AD23" s="239">
        <v>94.9</v>
      </c>
      <c r="AE23" s="239">
        <v>635.1</v>
      </c>
      <c r="AF23" s="238">
        <f t="shared" si="2"/>
        <v>84.899999999999977</v>
      </c>
    </row>
    <row r="24" spans="1:32">
      <c r="H24" s="355" t="s">
        <v>84</v>
      </c>
      <c r="I24" s="83" t="s">
        <v>19</v>
      </c>
      <c r="J24" s="82" t="s">
        <v>20</v>
      </c>
      <c r="K24" s="85"/>
      <c r="L24" s="217">
        <f>+K24*3</f>
        <v>0</v>
      </c>
      <c r="M24" s="367"/>
      <c r="N24" s="206">
        <f t="shared" si="3"/>
        <v>0</v>
      </c>
      <c r="O24" s="88"/>
      <c r="P24" s="89">
        <f t="shared" si="1"/>
        <v>0</v>
      </c>
      <c r="Q24" s="197"/>
      <c r="R24" s="89">
        <f t="shared" si="0"/>
        <v>0</v>
      </c>
      <c r="S24" s="7"/>
      <c r="T24" s="268"/>
      <c r="U24" s="269"/>
      <c r="V24" s="270"/>
      <c r="W24" s="275"/>
      <c r="Y24" s="240" t="s">
        <v>179</v>
      </c>
      <c r="Z24" s="10" t="s">
        <v>49</v>
      </c>
      <c r="AA24" s="232">
        <v>42897</v>
      </c>
      <c r="AB24" s="239">
        <v>12</v>
      </c>
      <c r="AC24" s="281">
        <v>21.2</v>
      </c>
      <c r="AD24" s="239">
        <v>2.64</v>
      </c>
      <c r="AE24" s="239">
        <v>18.559999999999999</v>
      </c>
      <c r="AF24" s="238">
        <f t="shared" si="2"/>
        <v>701.44</v>
      </c>
    </row>
    <row r="25" spans="1:32">
      <c r="H25" s="357"/>
      <c r="I25" s="347" t="s">
        <v>41</v>
      </c>
      <c r="J25" s="352" t="s">
        <v>42</v>
      </c>
      <c r="K25" s="35"/>
      <c r="L25" s="213"/>
      <c r="M25" s="348"/>
      <c r="N25" s="31">
        <f t="shared" si="3"/>
        <v>0</v>
      </c>
      <c r="O25" s="334">
        <v>41</v>
      </c>
      <c r="P25" s="333">
        <f t="shared" si="1"/>
        <v>150</v>
      </c>
      <c r="Q25" s="195"/>
      <c r="R25" s="228">
        <f t="shared" si="0"/>
        <v>150</v>
      </c>
      <c r="S25" s="7"/>
      <c r="T25" s="268"/>
      <c r="U25" s="269"/>
      <c r="V25" s="270"/>
      <c r="W25" s="271"/>
      <c r="Y25" s="240" t="s">
        <v>178</v>
      </c>
      <c r="Z25" s="10" t="s">
        <v>177</v>
      </c>
      <c r="AA25" s="232" t="s">
        <v>176</v>
      </c>
      <c r="AB25" s="239">
        <v>444</v>
      </c>
      <c r="AC25" s="281">
        <v>674</v>
      </c>
      <c r="AD25" s="239">
        <v>87.62</v>
      </c>
      <c r="AE25" s="239">
        <v>586.38</v>
      </c>
      <c r="AF25" s="238">
        <f t="shared" si="2"/>
        <v>133.62</v>
      </c>
    </row>
    <row r="26" spans="1:32">
      <c r="H26" s="357"/>
      <c r="I26" s="347" t="s">
        <v>26</v>
      </c>
      <c r="J26" s="352" t="s">
        <v>48</v>
      </c>
      <c r="K26" s="18"/>
      <c r="L26" s="213">
        <v>0</v>
      </c>
      <c r="M26" s="348"/>
      <c r="N26" s="31">
        <f t="shared" si="3"/>
        <v>0</v>
      </c>
      <c r="O26" s="334">
        <v>31</v>
      </c>
      <c r="P26" s="333">
        <f t="shared" si="1"/>
        <v>150</v>
      </c>
      <c r="Q26" s="195"/>
      <c r="R26" s="228">
        <f>+L26+N29+P26+Q26</f>
        <v>150</v>
      </c>
      <c r="S26" s="7"/>
      <c r="T26" s="268"/>
      <c r="U26" s="269"/>
      <c r="V26" s="272"/>
      <c r="W26" s="275"/>
      <c r="Y26" s="240" t="s">
        <v>175</v>
      </c>
      <c r="Z26" s="10" t="s">
        <v>57</v>
      </c>
      <c r="AA26" s="232">
        <v>42889</v>
      </c>
      <c r="AB26" s="239">
        <v>528</v>
      </c>
      <c r="AC26" s="281">
        <v>772</v>
      </c>
      <c r="AD26" s="239">
        <v>90.63</v>
      </c>
      <c r="AE26" s="239">
        <v>681.37</v>
      </c>
      <c r="AF26" s="238">
        <f t="shared" si="2"/>
        <v>38.629999999999995</v>
      </c>
    </row>
    <row r="27" spans="1:32">
      <c r="H27" s="357"/>
      <c r="I27" s="347" t="s">
        <v>67</v>
      </c>
      <c r="J27" s="350" t="s">
        <v>68</v>
      </c>
      <c r="K27" s="18"/>
      <c r="L27" s="213">
        <v>0</v>
      </c>
      <c r="M27" s="22"/>
      <c r="N27" s="31">
        <f t="shared" si="3"/>
        <v>0</v>
      </c>
      <c r="O27" s="330"/>
      <c r="P27" s="333">
        <f t="shared" si="1"/>
        <v>0</v>
      </c>
      <c r="Q27" s="196"/>
      <c r="R27" s="31">
        <f t="shared" si="0"/>
        <v>0</v>
      </c>
      <c r="S27" s="7"/>
      <c r="T27" s="274"/>
      <c r="U27" s="269"/>
      <c r="V27" s="270"/>
      <c r="W27" s="278"/>
      <c r="Y27" s="130"/>
      <c r="Z27" s="237"/>
      <c r="AA27" s="236"/>
      <c r="AB27" s="235">
        <f>SUM(AB11:AB26)</f>
        <v>6358.28</v>
      </c>
      <c r="AC27" s="283">
        <f>SUM(AC11:AC26)</f>
        <v>9334.39</v>
      </c>
      <c r="AD27" s="235">
        <f>SUM(AD11:AD26)</f>
        <v>1192.8600000000001</v>
      </c>
      <c r="AE27" s="235">
        <f>SUM(AE11:AE26)</f>
        <v>8141.53</v>
      </c>
      <c r="AF27" s="234"/>
    </row>
    <row r="28" spans="1:32">
      <c r="H28" s="355" t="s">
        <v>84</v>
      </c>
      <c r="I28" s="83" t="s">
        <v>21</v>
      </c>
      <c r="J28" s="82" t="s">
        <v>152</v>
      </c>
      <c r="K28" s="85"/>
      <c r="L28" s="217">
        <v>0</v>
      </c>
      <c r="M28" s="367"/>
      <c r="N28" s="206">
        <v>0</v>
      </c>
      <c r="O28" s="88">
        <v>28</v>
      </c>
      <c r="P28" s="89">
        <f t="shared" si="1"/>
        <v>150</v>
      </c>
      <c r="Q28" s="197"/>
      <c r="R28" s="89">
        <f t="shared" si="0"/>
        <v>150</v>
      </c>
      <c r="S28" s="7"/>
      <c r="T28" s="268"/>
      <c r="U28" s="276"/>
      <c r="V28" s="277"/>
      <c r="W28" s="279"/>
      <c r="Y28" s="233"/>
      <c r="Z28" s="10"/>
      <c r="AA28" s="232"/>
      <c r="AB28" s="231"/>
      <c r="AC28" s="231"/>
      <c r="AD28" s="231"/>
      <c r="AE28" s="231"/>
      <c r="AF28" s="230"/>
    </row>
    <row r="29" spans="1:32">
      <c r="H29" s="356" t="s">
        <v>166</v>
      </c>
      <c r="I29" s="83" t="s">
        <v>43</v>
      </c>
      <c r="J29" s="82" t="s">
        <v>73</v>
      </c>
      <c r="K29" s="85"/>
      <c r="L29" s="217">
        <v>0</v>
      </c>
      <c r="M29" s="367"/>
      <c r="N29" s="206">
        <f>+M26*3</f>
        <v>0</v>
      </c>
      <c r="O29" s="88">
        <v>31</v>
      </c>
      <c r="P29" s="89">
        <f t="shared" si="1"/>
        <v>150</v>
      </c>
      <c r="Q29" s="197"/>
      <c r="R29" s="89">
        <f>+L29+N31+P29+Q29</f>
        <v>150</v>
      </c>
      <c r="S29" s="7"/>
      <c r="T29" s="268"/>
      <c r="U29" s="269"/>
      <c r="V29" s="270"/>
      <c r="W29" s="275"/>
      <c r="Y29" s="289" t="s">
        <v>233</v>
      </c>
      <c r="Z29" s="264"/>
      <c r="AA29" s="264"/>
      <c r="AB29" s="264"/>
      <c r="AC29" s="250" t="s">
        <v>229</v>
      </c>
      <c r="AD29" s="249" t="s">
        <v>213</v>
      </c>
      <c r="AE29" s="249"/>
    </row>
    <row r="30" spans="1:32">
      <c r="H30" s="358"/>
      <c r="I30" s="113" t="s">
        <v>44</v>
      </c>
      <c r="J30" s="351" t="s">
        <v>45</v>
      </c>
      <c r="K30" s="120"/>
      <c r="L30" s="215">
        <f>+K30*3</f>
        <v>0</v>
      </c>
      <c r="M30" s="117"/>
      <c r="N30" s="31">
        <v>0</v>
      </c>
      <c r="O30" s="332">
        <v>26</v>
      </c>
      <c r="P30" s="333">
        <f>IF(O30&gt;25,150,(O30)*6)</f>
        <v>150</v>
      </c>
      <c r="Q30" s="196"/>
      <c r="R30" s="229">
        <f t="shared" si="0"/>
        <v>150</v>
      </c>
      <c r="S30" s="7"/>
      <c r="T30" s="268"/>
      <c r="U30" s="269"/>
      <c r="V30" s="270"/>
      <c r="W30" s="271"/>
      <c r="Y30" s="259" t="s">
        <v>228</v>
      </c>
      <c r="Z30" s="263" t="s">
        <v>227</v>
      </c>
      <c r="AA30" s="262"/>
      <c r="AB30" s="262"/>
      <c r="AC30" s="250" t="s">
        <v>226</v>
      </c>
      <c r="AD30" s="261" t="s">
        <v>213</v>
      </c>
      <c r="AE30" s="261"/>
    </row>
    <row r="31" spans="1:32">
      <c r="A31" s="4"/>
      <c r="B31" s="4"/>
      <c r="C31" s="4"/>
      <c r="D31" s="3"/>
      <c r="E31" s="4"/>
      <c r="F31" s="166"/>
      <c r="G31" s="4"/>
      <c r="H31" s="358"/>
      <c r="I31" s="113" t="s">
        <v>14</v>
      </c>
      <c r="J31" s="351" t="s">
        <v>66</v>
      </c>
      <c r="K31" s="120"/>
      <c r="L31" s="215">
        <f>+K31*3</f>
        <v>0</v>
      </c>
      <c r="M31" s="117"/>
      <c r="N31" s="31">
        <f>+M29*3</f>
        <v>0</v>
      </c>
      <c r="O31" s="332">
        <v>33</v>
      </c>
      <c r="P31" s="333">
        <f>IF(O31&gt;25,150,(O31)*6)</f>
        <v>150</v>
      </c>
      <c r="Q31" s="196"/>
      <c r="R31" s="229">
        <f t="shared" si="0"/>
        <v>150</v>
      </c>
      <c r="S31" s="7"/>
      <c r="T31" s="268"/>
      <c r="U31" s="269"/>
      <c r="V31" s="272"/>
      <c r="W31" s="275"/>
      <c r="Y31" s="259" t="s">
        <v>225</v>
      </c>
      <c r="Z31" s="251" t="s">
        <v>224</v>
      </c>
      <c r="AA31" s="250" t="s">
        <v>223</v>
      </c>
      <c r="AB31" s="255">
        <v>43256</v>
      </c>
      <c r="AC31" s="258" t="s">
        <v>222</v>
      </c>
      <c r="AD31" s="257">
        <v>2018</v>
      </c>
      <c r="AE31" s="10"/>
    </row>
    <row r="32" spans="1:32" s="4" customFormat="1">
      <c r="A32"/>
      <c r="B32"/>
      <c r="C32"/>
      <c r="D32" s="1"/>
      <c r="E32"/>
      <c r="F32" s="2"/>
      <c r="G32"/>
      <c r="H32" s="357"/>
      <c r="I32" s="347" t="s">
        <v>15</v>
      </c>
      <c r="J32" s="350" t="s">
        <v>16</v>
      </c>
      <c r="K32" s="18"/>
      <c r="L32" s="213">
        <f>+K32*3</f>
        <v>0</v>
      </c>
      <c r="M32" s="348"/>
      <c r="N32" s="23">
        <f>5*M32</f>
        <v>0</v>
      </c>
      <c r="O32" s="334"/>
      <c r="P32" s="331">
        <f t="shared" ref="P32:P41" si="4">IF(O32&gt;25,150,(O32)*6)</f>
        <v>0</v>
      </c>
      <c r="Q32" s="196"/>
      <c r="R32" s="23">
        <f t="shared" si="0"/>
        <v>0</v>
      </c>
      <c r="S32" s="7"/>
      <c r="T32" s="274"/>
      <c r="U32" s="269"/>
      <c r="V32" s="270"/>
      <c r="W32" s="278"/>
      <c r="Y32" s="252" t="s">
        <v>221</v>
      </c>
      <c r="Z32" s="251" t="s">
        <v>220</v>
      </c>
      <c r="AA32" s="250" t="s">
        <v>219</v>
      </c>
      <c r="AB32" s="254" t="s">
        <v>218</v>
      </c>
      <c r="AC32" s="250" t="s">
        <v>217</v>
      </c>
      <c r="AD32" s="255">
        <v>43348</v>
      </c>
      <c r="AE32" s="249"/>
    </row>
    <row r="33" spans="8:31">
      <c r="H33" s="357"/>
      <c r="I33" s="347" t="s">
        <v>17</v>
      </c>
      <c r="J33" s="352" t="s">
        <v>119</v>
      </c>
      <c r="K33" s="35"/>
      <c r="L33" s="213"/>
      <c r="M33" s="348"/>
      <c r="N33" s="31">
        <v>0</v>
      </c>
      <c r="O33" s="334">
        <v>1</v>
      </c>
      <c r="P33" s="333">
        <f t="shared" si="4"/>
        <v>6</v>
      </c>
      <c r="Q33" s="195"/>
      <c r="R33" s="228">
        <f t="shared" si="0"/>
        <v>6</v>
      </c>
      <c r="S33" s="7"/>
      <c r="T33" s="268"/>
      <c r="U33" s="276"/>
      <c r="V33" s="277"/>
      <c r="W33" s="279"/>
      <c r="Y33" s="252" t="s">
        <v>216</v>
      </c>
      <c r="Z33" s="251" t="s">
        <v>215</v>
      </c>
      <c r="AA33" s="250" t="s">
        <v>214</v>
      </c>
      <c r="AB33" s="249" t="s">
        <v>213</v>
      </c>
      <c r="AC33" s="250" t="s">
        <v>212</v>
      </c>
      <c r="AD33" s="249" t="s">
        <v>211</v>
      </c>
      <c r="AE33" s="249"/>
    </row>
    <row r="34" spans="8:31" ht="17.25" thickBot="1">
      <c r="H34" s="357"/>
      <c r="I34" s="113" t="s">
        <v>75</v>
      </c>
      <c r="J34" s="351" t="s">
        <v>76</v>
      </c>
      <c r="K34" s="115"/>
      <c r="L34" s="215"/>
      <c r="M34" s="117"/>
      <c r="N34" s="31">
        <f>+M34*3</f>
        <v>0</v>
      </c>
      <c r="O34" s="332">
        <v>1</v>
      </c>
      <c r="P34" s="333">
        <f t="shared" si="4"/>
        <v>6</v>
      </c>
      <c r="Q34" s="195"/>
      <c r="R34" s="228">
        <f t="shared" si="0"/>
        <v>6</v>
      </c>
      <c r="S34" s="7"/>
      <c r="T34" s="270"/>
      <c r="U34" s="269"/>
      <c r="V34" s="270"/>
      <c r="W34" s="275"/>
      <c r="Y34" s="247" t="s">
        <v>210</v>
      </c>
      <c r="Z34" s="247" t="s">
        <v>209</v>
      </c>
      <c r="AA34" s="246" t="s">
        <v>208</v>
      </c>
      <c r="AB34" s="246" t="s">
        <v>207</v>
      </c>
      <c r="AC34" s="246" t="s">
        <v>206</v>
      </c>
      <c r="AD34" s="246" t="s">
        <v>205</v>
      </c>
      <c r="AE34" s="246" t="s">
        <v>204</v>
      </c>
    </row>
    <row r="35" spans="8:31">
      <c r="H35" s="357"/>
      <c r="I35" s="113" t="s">
        <v>146</v>
      </c>
      <c r="J35" s="351" t="s">
        <v>55</v>
      </c>
      <c r="K35" s="115"/>
      <c r="L35" s="215"/>
      <c r="M35" s="117"/>
      <c r="N35" s="31">
        <v>0</v>
      </c>
      <c r="O35" s="332"/>
      <c r="P35" s="333">
        <f t="shared" si="4"/>
        <v>0</v>
      </c>
      <c r="Q35" s="195"/>
      <c r="R35" s="31">
        <f t="shared" si="0"/>
        <v>0</v>
      </c>
      <c r="S35" s="7"/>
      <c r="T35" s="268"/>
      <c r="U35" s="269"/>
      <c r="V35" s="270"/>
      <c r="W35" s="271"/>
      <c r="Y35" s="240" t="s">
        <v>202</v>
      </c>
      <c r="Z35" s="10" t="s">
        <v>201</v>
      </c>
      <c r="AA35" s="232">
        <v>43102</v>
      </c>
      <c r="AB35" s="239">
        <v>444</v>
      </c>
      <c r="AC35" s="239">
        <v>674</v>
      </c>
      <c r="AD35" s="239">
        <v>87.62</v>
      </c>
      <c r="AE35" s="239">
        <v>586.38</v>
      </c>
    </row>
    <row r="36" spans="8:31">
      <c r="H36" s="357"/>
      <c r="I36" s="113" t="s">
        <v>69</v>
      </c>
      <c r="J36" s="351" t="s">
        <v>70</v>
      </c>
      <c r="K36" s="115"/>
      <c r="L36" s="215">
        <v>0</v>
      </c>
      <c r="M36" s="117"/>
      <c r="N36" s="31">
        <f>+M36*3</f>
        <v>0</v>
      </c>
      <c r="O36" s="332"/>
      <c r="P36" s="333">
        <f t="shared" si="4"/>
        <v>0</v>
      </c>
      <c r="Q36" s="195"/>
      <c r="R36" s="228">
        <f t="shared" si="0"/>
        <v>0</v>
      </c>
      <c r="S36" s="7"/>
      <c r="T36" s="268"/>
      <c r="U36" s="269"/>
      <c r="V36" s="272"/>
      <c r="W36" s="273"/>
      <c r="Y36" s="240" t="s">
        <v>200</v>
      </c>
      <c r="Z36" s="10" t="s">
        <v>199</v>
      </c>
      <c r="AA36" s="232">
        <v>42837</v>
      </c>
      <c r="AB36" s="239">
        <v>204</v>
      </c>
      <c r="AC36" s="239">
        <v>344.8</v>
      </c>
      <c r="AD36" s="239">
        <v>44.82</v>
      </c>
      <c r="AE36" s="239">
        <v>299.98</v>
      </c>
    </row>
    <row r="37" spans="8:31">
      <c r="H37" s="357"/>
      <c r="I37" s="347" t="s">
        <v>91</v>
      </c>
      <c r="J37" s="352" t="s">
        <v>92</v>
      </c>
      <c r="K37" s="35"/>
      <c r="L37" s="213">
        <v>0</v>
      </c>
      <c r="M37" s="348"/>
      <c r="N37" s="31">
        <f>+M37*3</f>
        <v>0</v>
      </c>
      <c r="O37" s="334"/>
      <c r="P37" s="333">
        <f t="shared" si="4"/>
        <v>0</v>
      </c>
      <c r="Q37" s="195"/>
      <c r="R37" s="228">
        <f t="shared" si="0"/>
        <v>0</v>
      </c>
      <c r="S37" s="7"/>
      <c r="T37" s="274"/>
      <c r="U37" s="269"/>
      <c r="V37" s="270"/>
      <c r="W37" s="275"/>
      <c r="Y37" s="240" t="s">
        <v>198</v>
      </c>
      <c r="Z37" s="10" t="s">
        <v>143</v>
      </c>
      <c r="AA37" s="232">
        <v>42837</v>
      </c>
      <c r="AB37" s="239">
        <v>540</v>
      </c>
      <c r="AC37" s="239">
        <v>786</v>
      </c>
      <c r="AD37" s="239">
        <v>102.18</v>
      </c>
      <c r="AE37" s="239">
        <v>683.82</v>
      </c>
    </row>
    <row r="38" spans="8:31">
      <c r="H38" s="357"/>
      <c r="I38" s="347" t="s">
        <v>93</v>
      </c>
      <c r="J38" s="350" t="s">
        <v>94</v>
      </c>
      <c r="K38" s="18"/>
      <c r="L38" s="213">
        <v>0</v>
      </c>
      <c r="M38" s="348"/>
      <c r="N38" s="31">
        <v>0</v>
      </c>
      <c r="O38" s="334"/>
      <c r="P38" s="333">
        <f t="shared" si="4"/>
        <v>0</v>
      </c>
      <c r="Q38" s="196"/>
      <c r="R38" s="31">
        <f t="shared" si="0"/>
        <v>0</v>
      </c>
      <c r="S38" s="7"/>
      <c r="T38" s="268"/>
      <c r="U38" s="276"/>
      <c r="V38" s="277"/>
      <c r="W38" s="276"/>
      <c r="Y38" s="240" t="s">
        <v>197</v>
      </c>
      <c r="Z38" s="10" t="s">
        <v>196</v>
      </c>
      <c r="AA38" s="232">
        <v>42046</v>
      </c>
      <c r="AB38" s="239">
        <v>274.27999999999997</v>
      </c>
      <c r="AC38" s="239">
        <v>323.58999999999997</v>
      </c>
      <c r="AD38" s="239">
        <v>42.07</v>
      </c>
      <c r="AE38" s="239">
        <v>281.52</v>
      </c>
    </row>
    <row r="39" spans="8:31">
      <c r="H39" s="357"/>
      <c r="I39" s="347" t="s">
        <v>120</v>
      </c>
      <c r="J39" s="350" t="s">
        <v>121</v>
      </c>
      <c r="K39" s="18"/>
      <c r="L39" s="213">
        <v>0</v>
      </c>
      <c r="M39" s="348"/>
      <c r="N39" s="31">
        <v>0</v>
      </c>
      <c r="O39" s="334"/>
      <c r="P39" s="333">
        <f t="shared" si="4"/>
        <v>0</v>
      </c>
      <c r="Q39" s="196"/>
      <c r="R39" s="31">
        <f t="shared" si="0"/>
        <v>0</v>
      </c>
      <c r="S39" s="7"/>
      <c r="T39" s="270"/>
      <c r="U39" s="269"/>
      <c r="V39" s="270"/>
      <c r="W39" s="275"/>
      <c r="Y39" s="240" t="s">
        <v>195</v>
      </c>
      <c r="Z39" s="10" t="s">
        <v>194</v>
      </c>
      <c r="AA39" s="232">
        <v>42801</v>
      </c>
      <c r="AB39" s="239">
        <v>144</v>
      </c>
      <c r="AC39" s="239">
        <v>243.6</v>
      </c>
      <c r="AD39" s="239">
        <v>31.67</v>
      </c>
      <c r="AE39" s="239">
        <v>211.93</v>
      </c>
    </row>
    <row r="40" spans="8:31">
      <c r="H40" s="357"/>
      <c r="I40" s="347" t="s">
        <v>125</v>
      </c>
      <c r="J40" s="350" t="s">
        <v>126</v>
      </c>
      <c r="K40" s="18"/>
      <c r="L40" s="213">
        <v>0</v>
      </c>
      <c r="M40" s="348"/>
      <c r="N40" s="31">
        <v>0</v>
      </c>
      <c r="O40" s="334"/>
      <c r="P40" s="333">
        <f t="shared" si="4"/>
        <v>0</v>
      </c>
      <c r="Q40" s="196"/>
      <c r="R40" s="228">
        <f t="shared" si="0"/>
        <v>0</v>
      </c>
      <c r="S40" s="7"/>
      <c r="T40" s="268"/>
      <c r="U40" s="269"/>
      <c r="V40" s="270"/>
      <c r="W40" s="271"/>
      <c r="Y40" s="240" t="s">
        <v>193</v>
      </c>
      <c r="Z40" s="10" t="s">
        <v>192</v>
      </c>
      <c r="AA40" s="232">
        <v>42499</v>
      </c>
      <c r="AB40" s="239">
        <v>12</v>
      </c>
      <c r="AC40" s="239">
        <v>21.2</v>
      </c>
      <c r="AD40" s="239">
        <v>2.76</v>
      </c>
      <c r="AE40" s="239">
        <v>18.440000000000001</v>
      </c>
    </row>
    <row r="41" spans="8:31">
      <c r="H41" s="355" t="s">
        <v>84</v>
      </c>
      <c r="I41" s="198" t="s">
        <v>158</v>
      </c>
      <c r="J41" s="354" t="s">
        <v>159</v>
      </c>
      <c r="K41" s="200"/>
      <c r="L41" s="218">
        <v>0</v>
      </c>
      <c r="M41" s="368"/>
      <c r="N41" s="369">
        <f>+M41*3</f>
        <v>0</v>
      </c>
      <c r="O41" s="204"/>
      <c r="P41" s="203">
        <f t="shared" si="4"/>
        <v>0</v>
      </c>
      <c r="Q41" s="205"/>
      <c r="R41" s="203">
        <f t="shared" si="0"/>
        <v>0</v>
      </c>
      <c r="S41" s="7"/>
      <c r="T41" s="268"/>
      <c r="U41" s="269"/>
      <c r="V41" s="272"/>
      <c r="W41" s="270"/>
      <c r="Y41" s="285" t="s">
        <v>191</v>
      </c>
      <c r="Z41" s="286" t="s">
        <v>190</v>
      </c>
      <c r="AA41" s="287">
        <v>42046</v>
      </c>
      <c r="AB41" s="282">
        <v>696</v>
      </c>
      <c r="AC41" s="282">
        <v>827.2</v>
      </c>
      <c r="AD41" s="282">
        <v>107.21</v>
      </c>
      <c r="AE41" s="288">
        <v>719.99</v>
      </c>
    </row>
    <row r="42" spans="8:31">
      <c r="I42" s="41"/>
      <c r="J42" s="42"/>
      <c r="K42" s="65">
        <f t="shared" ref="K42:Q42" si="5">SUM(K5:K41)</f>
        <v>0</v>
      </c>
      <c r="L42" s="66">
        <f t="shared" si="5"/>
        <v>0</v>
      </c>
      <c r="M42" s="56">
        <f t="shared" si="5"/>
        <v>0</v>
      </c>
      <c r="N42" s="58">
        <f t="shared" si="5"/>
        <v>0</v>
      </c>
      <c r="O42" s="335">
        <f t="shared" si="5"/>
        <v>432</v>
      </c>
      <c r="P42" s="336">
        <f t="shared" si="5"/>
        <v>2112</v>
      </c>
      <c r="Q42" s="58">
        <f t="shared" si="5"/>
        <v>0</v>
      </c>
      <c r="R42" s="57">
        <f t="shared" si="0"/>
        <v>2112</v>
      </c>
      <c r="S42" s="7"/>
      <c r="T42" s="268"/>
      <c r="U42" s="269"/>
      <c r="V42" s="272"/>
      <c r="W42" s="270"/>
      <c r="Y42" s="240" t="s">
        <v>189</v>
      </c>
      <c r="Z42" s="10" t="s">
        <v>188</v>
      </c>
      <c r="AA42" s="232">
        <v>43347</v>
      </c>
      <c r="AB42" s="239">
        <v>432</v>
      </c>
      <c r="AC42" s="239">
        <v>660</v>
      </c>
      <c r="AD42" s="239">
        <v>85.8</v>
      </c>
      <c r="AE42" s="239">
        <v>574.20000000000005</v>
      </c>
    </row>
    <row r="43" spans="8:31">
      <c r="L43" s="167" t="s">
        <v>105</v>
      </c>
      <c r="M43" s="168">
        <v>245</v>
      </c>
      <c r="N43" s="167" t="s">
        <v>105</v>
      </c>
      <c r="O43" s="168">
        <f>+O44-O42</f>
        <v>-432</v>
      </c>
      <c r="P43" s="168">
        <f>+P44-P42</f>
        <v>180</v>
      </c>
      <c r="Q43" s="168"/>
      <c r="R43" s="175">
        <f>+R19+R20+R24+R28+R29+R41</f>
        <v>600</v>
      </c>
      <c r="S43" s="7"/>
      <c r="T43" s="274"/>
      <c r="U43" s="269"/>
      <c r="V43" s="270"/>
      <c r="W43" s="278"/>
      <c r="Y43" s="240" t="s">
        <v>187</v>
      </c>
      <c r="Z43" s="10" t="s">
        <v>186</v>
      </c>
      <c r="AA43" s="232">
        <v>42837</v>
      </c>
      <c r="AB43" s="239">
        <v>504</v>
      </c>
      <c r="AC43" s="239">
        <v>744</v>
      </c>
      <c r="AD43" s="239">
        <v>91.22</v>
      </c>
      <c r="AE43" s="239">
        <v>652.78</v>
      </c>
    </row>
    <row r="44" spans="8:31">
      <c r="L44" s="169"/>
      <c r="M44" s="170">
        <f>+M42-M43</f>
        <v>-245</v>
      </c>
      <c r="N44" s="171" t="s">
        <v>147</v>
      </c>
      <c r="O44" s="169"/>
      <c r="P44" s="169">
        <v>2292</v>
      </c>
      <c r="Q44" s="176" t="s">
        <v>133</v>
      </c>
      <c r="R44" s="177">
        <f>+R42-R43</f>
        <v>1512</v>
      </c>
      <c r="S44" s="7"/>
      <c r="T44" s="268"/>
      <c r="U44" s="276"/>
      <c r="V44" s="277"/>
      <c r="W44" s="279"/>
      <c r="Y44" s="240" t="s">
        <v>185</v>
      </c>
      <c r="Z44" s="10" t="s">
        <v>184</v>
      </c>
      <c r="AA44" s="232">
        <v>42125</v>
      </c>
      <c r="AB44" s="239">
        <v>432</v>
      </c>
      <c r="AC44" s="239">
        <v>660</v>
      </c>
      <c r="AD44" s="239">
        <v>80.92</v>
      </c>
      <c r="AE44" s="239">
        <v>579.08000000000004</v>
      </c>
    </row>
    <row r="45" spans="8:31">
      <c r="T45" s="270"/>
      <c r="U45" s="269"/>
      <c r="V45" s="270"/>
      <c r="W45" s="270"/>
      <c r="Y45" s="285" t="s">
        <v>183</v>
      </c>
      <c r="Z45" s="286" t="s">
        <v>74</v>
      </c>
      <c r="AA45" s="287">
        <v>42499</v>
      </c>
      <c r="AB45" s="282">
        <v>576</v>
      </c>
      <c r="AC45" s="282">
        <v>827.59</v>
      </c>
      <c r="AD45" s="282">
        <v>107.59</v>
      </c>
      <c r="AE45" s="288">
        <v>720</v>
      </c>
    </row>
    <row r="46" spans="8:31">
      <c r="Q46">
        <f>186/31</f>
        <v>6</v>
      </c>
      <c r="R46">
        <v>1440</v>
      </c>
      <c r="T46" s="270"/>
      <c r="U46" s="269"/>
      <c r="V46" s="270"/>
      <c r="W46" s="270"/>
      <c r="Y46" s="285" t="s">
        <v>182</v>
      </c>
      <c r="Z46" s="286" t="s">
        <v>51</v>
      </c>
      <c r="AA46" s="287">
        <v>42375</v>
      </c>
      <c r="AB46" s="282">
        <v>624</v>
      </c>
      <c r="AC46" s="282">
        <v>827.6</v>
      </c>
      <c r="AD46" s="282">
        <v>107.59</v>
      </c>
      <c r="AE46" s="288">
        <v>720.01</v>
      </c>
    </row>
    <row r="47" spans="8:31">
      <c r="P47" s="67"/>
      <c r="R47" s="6">
        <f>+R44-R46</f>
        <v>72</v>
      </c>
      <c r="T47" s="270"/>
      <c r="U47" s="269"/>
      <c r="V47" s="270"/>
      <c r="W47" s="270"/>
      <c r="Y47" s="240" t="s">
        <v>181</v>
      </c>
      <c r="Z47" s="10" t="s">
        <v>180</v>
      </c>
      <c r="AA47" s="232">
        <v>42375</v>
      </c>
      <c r="AB47" s="239">
        <v>492</v>
      </c>
      <c r="AC47" s="239">
        <v>730</v>
      </c>
      <c r="AD47" s="239">
        <v>94.9</v>
      </c>
      <c r="AE47" s="239">
        <v>635.1</v>
      </c>
    </row>
    <row r="48" spans="8:31">
      <c r="P48" s="67"/>
      <c r="T48" s="270"/>
      <c r="U48" s="269"/>
      <c r="V48" s="270"/>
      <c r="W48" s="270"/>
      <c r="Y48" s="240" t="s">
        <v>179</v>
      </c>
      <c r="Z48" s="10" t="s">
        <v>49</v>
      </c>
      <c r="AA48" s="232">
        <v>42897</v>
      </c>
      <c r="AB48" s="239">
        <v>12</v>
      </c>
      <c r="AC48" s="239">
        <v>21.2</v>
      </c>
      <c r="AD48" s="239">
        <v>2.64</v>
      </c>
      <c r="AE48" s="239">
        <v>18.559999999999999</v>
      </c>
    </row>
    <row r="49" spans="20:35">
      <c r="T49" s="270"/>
      <c r="U49" s="269"/>
      <c r="V49" s="270"/>
      <c r="W49" s="270"/>
      <c r="Y49" s="240" t="s">
        <v>178</v>
      </c>
      <c r="Z49" s="10" t="s">
        <v>177</v>
      </c>
      <c r="AA49" s="232" t="s">
        <v>176</v>
      </c>
      <c r="AB49" s="239">
        <v>444</v>
      </c>
      <c r="AC49" s="239">
        <v>674</v>
      </c>
      <c r="AD49" s="239">
        <v>87.62</v>
      </c>
      <c r="AE49" s="239">
        <v>586.38</v>
      </c>
    </row>
    <row r="50" spans="20:35">
      <c r="T50" s="270"/>
      <c r="U50" s="269"/>
      <c r="V50" s="270"/>
      <c r="W50" s="270"/>
      <c r="Y50" s="240" t="s">
        <v>175</v>
      </c>
      <c r="Z50" s="10" t="s">
        <v>57</v>
      </c>
      <c r="AA50" s="232">
        <v>42889</v>
      </c>
      <c r="AB50" s="239">
        <v>528</v>
      </c>
      <c r="AC50" s="239">
        <v>772</v>
      </c>
      <c r="AD50" s="239">
        <v>90.63</v>
      </c>
      <c r="AE50" s="239">
        <v>681.37</v>
      </c>
    </row>
    <row r="51" spans="20:35">
      <c r="T51" s="270"/>
      <c r="U51" s="269"/>
      <c r="V51" s="270"/>
      <c r="W51" s="270"/>
      <c r="Y51" s="130"/>
      <c r="Z51" s="237"/>
      <c r="AA51" s="236"/>
      <c r="AB51" s="235">
        <f>SUM(AB35:AB50)</f>
        <v>6358.28</v>
      </c>
      <c r="AC51" s="235">
        <f>SUM(AC35:AC50)</f>
        <v>9136.7799999999988</v>
      </c>
      <c r="AD51" s="235">
        <f>SUM(AD35:AD50)</f>
        <v>1167.2400000000002</v>
      </c>
      <c r="AE51" s="235">
        <f>SUM(AE35:AE50)</f>
        <v>7969.5400000000009</v>
      </c>
    </row>
    <row r="52" spans="20:35">
      <c r="T52" s="270"/>
      <c r="U52" s="269"/>
      <c r="V52" s="270"/>
      <c r="W52" s="270"/>
    </row>
    <row r="53" spans="20:35">
      <c r="Y53" s="291" t="s">
        <v>230</v>
      </c>
      <c r="Z53" s="292"/>
      <c r="AA53" s="292"/>
      <c r="AB53" s="292"/>
      <c r="AC53" s="293" t="s">
        <v>229</v>
      </c>
      <c r="AD53" s="294" t="s">
        <v>213</v>
      </c>
      <c r="AE53" s="295"/>
      <c r="AF53" s="248"/>
      <c r="AG53" s="249"/>
      <c r="AH53" s="249"/>
      <c r="AI53" s="254"/>
    </row>
    <row r="54" spans="20:35">
      <c r="Y54" s="296" t="s">
        <v>228</v>
      </c>
      <c r="Z54" s="297" t="s">
        <v>227</v>
      </c>
      <c r="AA54" s="298"/>
      <c r="AB54" s="298"/>
      <c r="AC54" s="299" t="s">
        <v>226</v>
      </c>
      <c r="AD54" s="260" t="s">
        <v>213</v>
      </c>
      <c r="AE54" s="300"/>
      <c r="AF54" s="260"/>
      <c r="AG54" s="261"/>
      <c r="AH54" s="261"/>
      <c r="AI54" s="254"/>
    </row>
    <row r="55" spans="20:35">
      <c r="Y55" s="296" t="s">
        <v>225</v>
      </c>
      <c r="Z55" s="301" t="s">
        <v>224</v>
      </c>
      <c r="AA55" s="299" t="s">
        <v>223</v>
      </c>
      <c r="AB55" s="302">
        <v>43256</v>
      </c>
      <c r="AC55" s="303" t="s">
        <v>222</v>
      </c>
      <c r="AD55" s="304">
        <v>2018</v>
      </c>
      <c r="AE55" s="305"/>
      <c r="AF55" s="256"/>
      <c r="AG55" s="10"/>
      <c r="AH55" s="10"/>
      <c r="AI55" s="10"/>
    </row>
    <row r="56" spans="20:35">
      <c r="Y56" s="306" t="s">
        <v>221</v>
      </c>
      <c r="Z56" s="301" t="s">
        <v>220</v>
      </c>
      <c r="AA56" s="299" t="s">
        <v>219</v>
      </c>
      <c r="AB56" s="253" t="s">
        <v>218</v>
      </c>
      <c r="AC56" s="299" t="s">
        <v>217</v>
      </c>
      <c r="AD56" s="302">
        <v>43348</v>
      </c>
      <c r="AE56" s="307"/>
      <c r="AF56" s="248"/>
      <c r="AG56" s="249"/>
      <c r="AH56" s="249"/>
      <c r="AI56" s="254"/>
    </row>
    <row r="57" spans="20:35">
      <c r="Y57" s="306" t="s">
        <v>216</v>
      </c>
      <c r="Z57" s="301" t="s">
        <v>215</v>
      </c>
      <c r="AA57" s="299" t="s">
        <v>214</v>
      </c>
      <c r="AB57" s="248" t="s">
        <v>213</v>
      </c>
      <c r="AC57" s="299" t="s">
        <v>212</v>
      </c>
      <c r="AD57" s="248" t="s">
        <v>211</v>
      </c>
      <c r="AE57" s="307"/>
      <c r="AF57" s="248"/>
      <c r="AG57" s="249"/>
      <c r="AH57" s="249"/>
      <c r="AI57" s="250"/>
    </row>
    <row r="58" spans="20:35" ht="17.25" thickBot="1">
      <c r="Y58" s="308" t="s">
        <v>210</v>
      </c>
      <c r="Z58" s="247" t="s">
        <v>209</v>
      </c>
      <c r="AA58" s="246" t="s">
        <v>208</v>
      </c>
      <c r="AB58" s="246" t="s">
        <v>207</v>
      </c>
      <c r="AC58" s="246" t="s">
        <v>206</v>
      </c>
      <c r="AD58" s="246" t="s">
        <v>205</v>
      </c>
      <c r="AE58" s="309" t="s">
        <v>204</v>
      </c>
      <c r="AF58" s="290"/>
      <c r="AG58" s="246" t="s">
        <v>237</v>
      </c>
      <c r="AH58" s="246" t="s">
        <v>236</v>
      </c>
      <c r="AI58" s="246" t="s">
        <v>235</v>
      </c>
    </row>
    <row r="59" spans="20:35">
      <c r="Y59" s="310" t="s">
        <v>202</v>
      </c>
      <c r="Z59" s="256" t="s">
        <v>201</v>
      </c>
      <c r="AA59" s="311">
        <v>43102</v>
      </c>
      <c r="AB59" s="238">
        <v>444</v>
      </c>
      <c r="AC59" s="238">
        <v>748</v>
      </c>
      <c r="AD59" s="238">
        <v>97.24</v>
      </c>
      <c r="AE59" s="312">
        <v>650.76</v>
      </c>
      <c r="AF59" s="238"/>
      <c r="AG59" s="239">
        <v>74</v>
      </c>
      <c r="AH59" s="239">
        <v>150</v>
      </c>
      <c r="AI59" s="239">
        <v>5</v>
      </c>
    </row>
    <row r="60" spans="20:35">
      <c r="Y60" s="310" t="s">
        <v>200</v>
      </c>
      <c r="Z60" s="256" t="s">
        <v>199</v>
      </c>
      <c r="AA60" s="311">
        <v>42837</v>
      </c>
      <c r="AB60" s="238">
        <v>204</v>
      </c>
      <c r="AC60" s="238">
        <v>378.8</v>
      </c>
      <c r="AD60" s="238">
        <v>49.24</v>
      </c>
      <c r="AE60" s="312">
        <v>329.56</v>
      </c>
      <c r="AF60" s="238"/>
      <c r="AG60" s="239">
        <v>34</v>
      </c>
      <c r="AH60" s="239">
        <v>102</v>
      </c>
      <c r="AI60" s="239">
        <v>4</v>
      </c>
    </row>
    <row r="61" spans="20:35">
      <c r="Y61" s="310" t="s">
        <v>198</v>
      </c>
      <c r="Z61" s="256" t="s">
        <v>143</v>
      </c>
      <c r="AA61" s="311">
        <v>42837</v>
      </c>
      <c r="AB61" s="238">
        <v>540</v>
      </c>
      <c r="AC61" s="238">
        <v>876</v>
      </c>
      <c r="AD61" s="238">
        <v>113.88</v>
      </c>
      <c r="AE61" s="312">
        <v>762.12</v>
      </c>
      <c r="AF61" s="238"/>
      <c r="AG61" s="239">
        <v>90</v>
      </c>
      <c r="AH61" s="239">
        <v>150</v>
      </c>
      <c r="AI61" s="239">
        <v>5</v>
      </c>
    </row>
    <row r="62" spans="20:35">
      <c r="Y62" s="310" t="s">
        <v>197</v>
      </c>
      <c r="Z62" s="256" t="s">
        <v>196</v>
      </c>
      <c r="AA62" s="311">
        <v>42046</v>
      </c>
      <c r="AB62" s="238">
        <v>274.27999999999997</v>
      </c>
      <c r="AC62" s="238">
        <v>369.3</v>
      </c>
      <c r="AD62" s="238">
        <v>48.01</v>
      </c>
      <c r="AE62" s="312">
        <v>321.29000000000002</v>
      </c>
      <c r="AF62" s="238"/>
      <c r="AG62" s="239">
        <v>45.71</v>
      </c>
      <c r="AH62" s="239">
        <v>0</v>
      </c>
      <c r="AI62" s="239">
        <v>3</v>
      </c>
    </row>
    <row r="63" spans="20:35">
      <c r="Y63" s="310" t="s">
        <v>195</v>
      </c>
      <c r="Z63" s="256" t="s">
        <v>194</v>
      </c>
      <c r="AA63" s="311">
        <v>42801</v>
      </c>
      <c r="AB63" s="238">
        <v>144</v>
      </c>
      <c r="AC63" s="238">
        <v>267.60000000000002</v>
      </c>
      <c r="AD63" s="238">
        <v>34.79</v>
      </c>
      <c r="AE63" s="312">
        <v>232.81</v>
      </c>
      <c r="AF63" s="238"/>
      <c r="AG63" s="239">
        <v>24</v>
      </c>
      <c r="AH63" s="239">
        <v>72</v>
      </c>
      <c r="AI63" s="239">
        <v>3</v>
      </c>
    </row>
    <row r="64" spans="20:35">
      <c r="Y64" s="310" t="s">
        <v>193</v>
      </c>
      <c r="Z64" s="256" t="s">
        <v>192</v>
      </c>
      <c r="AA64" s="311">
        <v>42499</v>
      </c>
      <c r="AB64" s="238">
        <v>12</v>
      </c>
      <c r="AC64" s="238">
        <v>23.2</v>
      </c>
      <c r="AD64" s="238">
        <v>3.02</v>
      </c>
      <c r="AE64" s="312">
        <v>20.18</v>
      </c>
      <c r="AF64" s="238"/>
      <c r="AG64" s="239">
        <v>2</v>
      </c>
      <c r="AH64" s="239">
        <v>6</v>
      </c>
      <c r="AI64" s="239">
        <v>1</v>
      </c>
    </row>
    <row r="65" spans="25:35">
      <c r="Y65" s="310" t="s">
        <v>191</v>
      </c>
      <c r="Z65" s="256" t="s">
        <v>190</v>
      </c>
      <c r="AA65" s="311">
        <v>42046</v>
      </c>
      <c r="AB65" s="238">
        <v>696</v>
      </c>
      <c r="AC65" s="238">
        <v>943.2</v>
      </c>
      <c r="AD65" s="238">
        <v>122.24</v>
      </c>
      <c r="AE65" s="312">
        <v>820.96</v>
      </c>
      <c r="AF65" s="238"/>
      <c r="AG65" s="239">
        <v>116</v>
      </c>
      <c r="AH65" s="239">
        <v>9.1999999999999993</v>
      </c>
      <c r="AI65" s="239">
        <v>5</v>
      </c>
    </row>
    <row r="66" spans="25:35">
      <c r="Y66" s="310" t="s">
        <v>189</v>
      </c>
      <c r="Z66" s="256" t="s">
        <v>188</v>
      </c>
      <c r="AA66" s="311">
        <v>43347</v>
      </c>
      <c r="AB66" s="238">
        <v>432</v>
      </c>
      <c r="AC66" s="238">
        <v>732</v>
      </c>
      <c r="AD66" s="238">
        <v>95.16</v>
      </c>
      <c r="AE66" s="312">
        <v>636.84</v>
      </c>
      <c r="AF66" s="238"/>
      <c r="AG66" s="239">
        <v>72</v>
      </c>
      <c r="AH66" s="239">
        <v>150</v>
      </c>
      <c r="AI66" s="239">
        <v>5</v>
      </c>
    </row>
    <row r="67" spans="25:35">
      <c r="Y67" s="310" t="s">
        <v>187</v>
      </c>
      <c r="Z67" s="256" t="s">
        <v>186</v>
      </c>
      <c r="AA67" s="311">
        <v>42837</v>
      </c>
      <c r="AB67" s="238">
        <v>504</v>
      </c>
      <c r="AC67" s="238">
        <v>828</v>
      </c>
      <c r="AD67" s="238">
        <v>101.51</v>
      </c>
      <c r="AE67" s="312">
        <v>726.49</v>
      </c>
      <c r="AF67" s="238"/>
      <c r="AG67" s="239">
        <v>84</v>
      </c>
      <c r="AH67" s="239">
        <v>150</v>
      </c>
      <c r="AI67" s="239">
        <v>5</v>
      </c>
    </row>
    <row r="68" spans="25:35">
      <c r="Y68" s="310" t="s">
        <v>185</v>
      </c>
      <c r="Z68" s="256" t="s">
        <v>184</v>
      </c>
      <c r="AA68" s="311">
        <v>42125</v>
      </c>
      <c r="AB68" s="238">
        <v>432</v>
      </c>
      <c r="AC68" s="238">
        <v>732</v>
      </c>
      <c r="AD68" s="238">
        <v>89.75</v>
      </c>
      <c r="AE68" s="312">
        <v>642.25</v>
      </c>
      <c r="AF68" s="238"/>
      <c r="AG68" s="239">
        <v>72</v>
      </c>
      <c r="AH68" s="239">
        <v>150</v>
      </c>
      <c r="AI68" s="239">
        <v>5</v>
      </c>
    </row>
    <row r="69" spans="25:35">
      <c r="Y69" s="310" t="s">
        <v>183</v>
      </c>
      <c r="Z69" s="256" t="s">
        <v>74</v>
      </c>
      <c r="AA69" s="311">
        <v>42499</v>
      </c>
      <c r="AB69" s="238">
        <v>576</v>
      </c>
      <c r="AC69" s="238">
        <v>923.59</v>
      </c>
      <c r="AD69" s="238">
        <v>120.07</v>
      </c>
      <c r="AE69" s="312">
        <v>803.52</v>
      </c>
      <c r="AF69" s="238"/>
      <c r="AG69" s="239">
        <v>96</v>
      </c>
      <c r="AH69" s="239">
        <v>149.59</v>
      </c>
      <c r="AI69" s="239">
        <v>5</v>
      </c>
    </row>
    <row r="70" spans="25:35">
      <c r="Y70" s="310" t="s">
        <v>182</v>
      </c>
      <c r="Z70" s="256" t="s">
        <v>51</v>
      </c>
      <c r="AA70" s="311">
        <v>42375</v>
      </c>
      <c r="AB70" s="238">
        <v>624</v>
      </c>
      <c r="AC70" s="238">
        <v>931.6</v>
      </c>
      <c r="AD70" s="238">
        <v>121.11</v>
      </c>
      <c r="AE70" s="312">
        <v>810.49</v>
      </c>
      <c r="AF70" s="238"/>
      <c r="AG70" s="239">
        <v>104</v>
      </c>
      <c r="AH70" s="239">
        <v>93.6</v>
      </c>
      <c r="AI70" s="239">
        <v>5</v>
      </c>
    </row>
    <row r="71" spans="25:35">
      <c r="Y71" s="310" t="s">
        <v>181</v>
      </c>
      <c r="Z71" s="256" t="s">
        <v>180</v>
      </c>
      <c r="AA71" s="311">
        <v>42375</v>
      </c>
      <c r="AB71" s="238">
        <v>492</v>
      </c>
      <c r="AC71" s="238">
        <v>812</v>
      </c>
      <c r="AD71" s="238">
        <v>105.56</v>
      </c>
      <c r="AE71" s="312">
        <v>706.44</v>
      </c>
      <c r="AF71" s="238"/>
      <c r="AG71" s="239">
        <v>82</v>
      </c>
      <c r="AH71" s="239">
        <v>150</v>
      </c>
      <c r="AI71" s="239">
        <v>5</v>
      </c>
    </row>
    <row r="72" spans="25:35">
      <c r="Y72" s="310" t="s">
        <v>179</v>
      </c>
      <c r="Z72" s="256" t="s">
        <v>49</v>
      </c>
      <c r="AA72" s="311">
        <v>42897</v>
      </c>
      <c r="AB72" s="238">
        <v>12</v>
      </c>
      <c r="AC72" s="238">
        <v>23.2</v>
      </c>
      <c r="AD72" s="238">
        <v>2.89</v>
      </c>
      <c r="AE72" s="312">
        <v>20.309999999999999</v>
      </c>
      <c r="AF72" s="238"/>
      <c r="AG72" s="239">
        <v>2</v>
      </c>
      <c r="AH72" s="239">
        <v>6</v>
      </c>
      <c r="AI72" s="239">
        <v>1</v>
      </c>
    </row>
    <row r="73" spans="25:35">
      <c r="Y73" s="310" t="s">
        <v>178</v>
      </c>
      <c r="Z73" s="256" t="s">
        <v>177</v>
      </c>
      <c r="AA73" s="311" t="s">
        <v>176</v>
      </c>
      <c r="AB73" s="238">
        <v>444</v>
      </c>
      <c r="AC73" s="238">
        <v>748</v>
      </c>
      <c r="AD73" s="238">
        <v>97.24</v>
      </c>
      <c r="AE73" s="312">
        <v>650.76</v>
      </c>
      <c r="AF73" s="238"/>
      <c r="AG73" s="239">
        <v>74</v>
      </c>
      <c r="AH73" s="239">
        <v>150</v>
      </c>
      <c r="AI73" s="239">
        <v>5</v>
      </c>
    </row>
    <row r="74" spans="25:35">
      <c r="Y74" s="310" t="s">
        <v>175</v>
      </c>
      <c r="Z74" s="256" t="s">
        <v>57</v>
      </c>
      <c r="AA74" s="311">
        <v>42889</v>
      </c>
      <c r="AB74" s="238">
        <v>528</v>
      </c>
      <c r="AC74" s="238">
        <v>860</v>
      </c>
      <c r="AD74" s="238">
        <v>100.97</v>
      </c>
      <c r="AE74" s="312">
        <v>759.03</v>
      </c>
      <c r="AF74" s="238"/>
      <c r="AG74" s="239">
        <v>88</v>
      </c>
      <c r="AH74" s="239">
        <v>150</v>
      </c>
      <c r="AI74" s="239">
        <v>5</v>
      </c>
    </row>
    <row r="75" spans="25:35">
      <c r="Y75" s="313"/>
      <c r="Z75" s="314"/>
      <c r="AA75" s="315"/>
      <c r="AB75" s="316">
        <f>SUM(AB59:AB74)</f>
        <v>6358.28</v>
      </c>
      <c r="AC75" s="316">
        <f>SUM(AC59:AC74)</f>
        <v>10196.490000000002</v>
      </c>
      <c r="AD75" s="316">
        <f>SUM(AD59:AD74)</f>
        <v>1302.6800000000003</v>
      </c>
      <c r="AE75" s="317">
        <f>SUM(AE59:AE74)</f>
        <v>8893.8100000000013</v>
      </c>
      <c r="AF75" s="234"/>
      <c r="AG75" s="235">
        <f>SUM(AG59:AG74)</f>
        <v>1059.71</v>
      </c>
      <c r="AH75" s="235">
        <f>SUM(AH59:AH74)</f>
        <v>1638.3899999999999</v>
      </c>
      <c r="AI75" s="235">
        <f>SUM(AI59:AI74)</f>
        <v>67</v>
      </c>
    </row>
  </sheetData>
  <mergeCells count="4">
    <mergeCell ref="I2:R2"/>
    <mergeCell ref="K3:N3"/>
    <mergeCell ref="O3:P3"/>
    <mergeCell ref="S3:U3"/>
  </mergeCells>
  <conditionalFormatting sqref="R42 R5:R6">
    <cfRule type="cellIs" dxfId="12" priority="1" operator="lessThanOrEqual">
      <formula>0</formula>
    </cfRule>
  </conditionalFormatting>
  <printOptions horizontalCentered="1"/>
  <pageMargins left="0" right="0" top="0.42" bottom="0" header="0.31496062992125984" footer="0.31496062992125984"/>
  <pageSetup paperSize="9" scale="82" orientation="portrait" r:id="rId1"/>
  <ignoredErrors>
    <ignoredError sqref="N9:R12 N23:R24 N18 P18:R18 N19 P19:R19 N20 P20:R20 N21 P21:R21 N22 P22:R22 N27:R27 N25 P25:R25 N26 P26:R26 N30 N28 P28:R28 N29 P29:R29 P30:R30 N17:R17 N16 P16:R16 N14:R15 N13 P13:R1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I75"/>
  <sheetViews>
    <sheetView zoomScale="85" zoomScaleNormal="85" workbookViewId="0">
      <pane xSplit="10" ySplit="4" topLeftCell="K8" activePane="bottomRight" state="frozen"/>
      <selection pane="topRight" activeCell="K1" sqref="K1"/>
      <selection pane="bottomLeft" activeCell="A5" sqref="A5"/>
      <selection pane="bottomRight" activeCell="H3" sqref="H3"/>
    </sheetView>
  </sheetViews>
  <sheetFormatPr baseColWidth="10" defaultRowHeight="15"/>
  <cols>
    <col min="1" max="1" width="5.7109375" customWidth="1"/>
    <col min="2" max="2" width="0" hidden="1" customWidth="1"/>
    <col min="3" max="3" width="20.7109375" hidden="1" customWidth="1"/>
    <col min="4" max="4" width="20.7109375" style="1" hidden="1" customWidth="1"/>
    <col min="5" max="5" width="13.28515625" hidden="1" customWidth="1"/>
    <col min="6" max="6" width="10.42578125" style="2" hidden="1" customWidth="1"/>
    <col min="7" max="7" width="25.28515625" hidden="1" customWidth="1"/>
    <col min="8" max="8" width="12.5703125" bestFit="1" customWidth="1"/>
    <col min="9" max="9" width="8.7109375" customWidth="1"/>
    <col min="10" max="10" width="24.140625" customWidth="1"/>
    <col min="11" max="11" width="8.7109375" customWidth="1"/>
    <col min="12" max="12" width="10.7109375" bestFit="1" customWidth="1"/>
    <col min="13" max="13" width="8.7109375" customWidth="1"/>
    <col min="14" max="14" width="10.28515625" bestFit="1" customWidth="1"/>
    <col min="15" max="15" width="8.7109375" customWidth="1"/>
    <col min="16" max="16" width="11.42578125" customWidth="1"/>
    <col min="17" max="17" width="11.7109375" customWidth="1"/>
    <col min="18" max="18" width="12.5703125" bestFit="1" customWidth="1"/>
    <col min="19" max="19" width="2.7109375" customWidth="1"/>
    <col min="20" max="20" width="13.28515625" customWidth="1"/>
    <col min="21" max="21" width="11.5703125" style="181" customWidth="1"/>
    <col min="22" max="22" width="10.7109375" customWidth="1"/>
    <col min="23" max="23" width="20.7109375" customWidth="1"/>
    <col min="24" max="24" width="2" customWidth="1"/>
    <col min="25" max="25" width="11.85546875" customWidth="1"/>
    <col min="26" max="26" width="20" customWidth="1"/>
    <col min="27" max="27" width="11.7109375" customWidth="1"/>
    <col min="28" max="28" width="11" customWidth="1"/>
    <col min="29" max="29" width="10.7109375" customWidth="1"/>
    <col min="30" max="30" width="10.42578125" customWidth="1"/>
    <col min="31" max="31" width="12.28515625" customWidth="1"/>
    <col min="32" max="32" width="9.42578125" customWidth="1"/>
    <col min="33" max="33" width="9.85546875" customWidth="1"/>
    <col min="34" max="34" width="9.5703125" customWidth="1"/>
  </cols>
  <sheetData>
    <row r="1" spans="8:32" ht="5.0999999999999996" customHeight="1"/>
    <row r="2" spans="8:32">
      <c r="H2" s="357"/>
      <c r="I2" s="417" t="s">
        <v>244</v>
      </c>
      <c r="J2" s="417"/>
      <c r="K2" s="417"/>
      <c r="L2" s="417"/>
      <c r="M2" s="417"/>
      <c r="N2" s="417"/>
      <c r="O2" s="417"/>
      <c r="P2" s="417"/>
      <c r="Q2" s="417"/>
      <c r="R2" s="417"/>
      <c r="S2" s="357"/>
      <c r="T2" s="359"/>
      <c r="U2" s="357"/>
    </row>
    <row r="3" spans="8:32">
      <c r="H3" s="357"/>
      <c r="I3" s="358"/>
      <c r="J3" s="358"/>
      <c r="K3" s="410" t="s">
        <v>58</v>
      </c>
      <c r="L3" s="411"/>
      <c r="M3" s="411"/>
      <c r="N3" s="412"/>
      <c r="O3" s="411" t="s">
        <v>59</v>
      </c>
      <c r="P3" s="412"/>
      <c r="Q3" s="358"/>
      <c r="R3" s="358"/>
      <c r="S3" s="415">
        <f ca="1">+TODAY()</f>
        <v>43292</v>
      </c>
      <c r="T3" s="416"/>
      <c r="U3" s="416"/>
    </row>
    <row r="4" spans="8:32" ht="34.5">
      <c r="H4" s="357"/>
      <c r="I4" s="360" t="s">
        <v>11</v>
      </c>
      <c r="J4" s="360" t="s">
        <v>3</v>
      </c>
      <c r="K4" s="361" t="s">
        <v>23</v>
      </c>
      <c r="L4" s="361" t="s">
        <v>77</v>
      </c>
      <c r="M4" s="362" t="s">
        <v>23</v>
      </c>
      <c r="N4" s="362" t="s">
        <v>77</v>
      </c>
      <c r="O4" s="363" t="s">
        <v>23</v>
      </c>
      <c r="P4" s="363" t="s">
        <v>242</v>
      </c>
      <c r="Q4" s="364" t="s">
        <v>243</v>
      </c>
      <c r="R4" s="365" t="s">
        <v>60</v>
      </c>
      <c r="S4" s="366"/>
      <c r="T4" s="357"/>
      <c r="U4" s="357"/>
    </row>
    <row r="5" spans="8:32">
      <c r="H5" s="357"/>
      <c r="I5" s="16" t="s">
        <v>61</v>
      </c>
      <c r="J5" s="349" t="s">
        <v>62</v>
      </c>
      <c r="K5" s="18"/>
      <c r="L5" s="184">
        <f>+K5*3</f>
        <v>0</v>
      </c>
      <c r="M5" s="226"/>
      <c r="N5" s="340">
        <v>0</v>
      </c>
      <c r="O5" s="330"/>
      <c r="P5" s="331"/>
      <c r="Q5" s="210"/>
      <c r="R5" s="211">
        <f>+L5+N5+P5+Q5</f>
        <v>0</v>
      </c>
      <c r="S5" s="7"/>
      <c r="T5" s="137">
        <v>968</v>
      </c>
      <c r="U5" s="182">
        <v>125.45</v>
      </c>
      <c r="V5" s="139">
        <v>842.55</v>
      </c>
      <c r="W5" s="280" t="s">
        <v>231</v>
      </c>
      <c r="Y5" s="289" t="s">
        <v>234</v>
      </c>
      <c r="Z5" s="169"/>
      <c r="AA5" s="169"/>
      <c r="AB5" s="169"/>
      <c r="AC5" s="169" t="s">
        <v>229</v>
      </c>
      <c r="AD5" s="169" t="s">
        <v>213</v>
      </c>
      <c r="AE5" s="169"/>
      <c r="AF5" s="169"/>
    </row>
    <row r="6" spans="8:32">
      <c r="H6" s="357"/>
      <c r="I6" s="339" t="s">
        <v>4</v>
      </c>
      <c r="J6" s="350" t="s">
        <v>12</v>
      </c>
      <c r="K6" s="18"/>
      <c r="L6" s="185">
        <f>+K6*3</f>
        <v>0</v>
      </c>
      <c r="M6" s="341"/>
      <c r="N6" s="340">
        <v>0</v>
      </c>
      <c r="O6" s="330"/>
      <c r="P6" s="331"/>
      <c r="Q6" s="196"/>
      <c r="R6" s="209">
        <f t="shared" ref="R6:R43" si="0">+L6+N6+P6+Q6</f>
        <v>0</v>
      </c>
      <c r="S6" s="7"/>
      <c r="T6" s="140">
        <f>+U6+V6</f>
        <v>827.2031333452021</v>
      </c>
      <c r="U6" s="284">
        <f>+U5*V6/V5</f>
        <v>107.20313334520208</v>
      </c>
      <c r="V6" s="141">
        <v>720</v>
      </c>
      <c r="W6" s="161"/>
      <c r="Y6" s="169" t="s">
        <v>228</v>
      </c>
      <c r="Z6" s="169" t="s">
        <v>227</v>
      </c>
      <c r="AA6" s="169"/>
      <c r="AB6" s="169"/>
      <c r="AC6" s="169" t="s">
        <v>226</v>
      </c>
      <c r="AD6" s="169" t="s">
        <v>213</v>
      </c>
      <c r="AE6" s="169"/>
      <c r="AF6" s="169"/>
    </row>
    <row r="7" spans="8:32">
      <c r="H7" s="357"/>
      <c r="I7" s="113" t="s">
        <v>1</v>
      </c>
      <c r="J7" s="351" t="s">
        <v>56</v>
      </c>
      <c r="K7" s="120"/>
      <c r="L7" s="215">
        <f>+K7*3</f>
        <v>0</v>
      </c>
      <c r="M7" s="226"/>
      <c r="N7" s="342">
        <v>0</v>
      </c>
      <c r="O7" s="332"/>
      <c r="P7" s="333">
        <f>IF(O7&gt;25,150,(O7)*6)</f>
        <v>0</v>
      </c>
      <c r="Q7" s="196"/>
      <c r="R7" s="23">
        <f t="shared" si="0"/>
        <v>0</v>
      </c>
      <c r="S7" s="7"/>
      <c r="T7" s="142">
        <f>+T5-T6</f>
        <v>140.7968666547979</v>
      </c>
      <c r="U7" s="183"/>
      <c r="V7" s="143"/>
      <c r="W7" s="4" t="s">
        <v>145</v>
      </c>
      <c r="Y7" s="169" t="s">
        <v>225</v>
      </c>
      <c r="Z7" s="169" t="s">
        <v>224</v>
      </c>
      <c r="AA7" s="169" t="s">
        <v>223</v>
      </c>
      <c r="AB7" s="169">
        <v>43256</v>
      </c>
      <c r="AC7" s="169" t="s">
        <v>222</v>
      </c>
      <c r="AD7" s="169">
        <v>2018</v>
      </c>
      <c r="AE7" s="169"/>
      <c r="AF7" s="169"/>
    </row>
    <row r="8" spans="8:32">
      <c r="H8" s="357"/>
      <c r="I8" s="113" t="s">
        <v>2</v>
      </c>
      <c r="J8" s="351" t="s">
        <v>47</v>
      </c>
      <c r="K8" s="115"/>
      <c r="L8" s="215"/>
      <c r="M8" s="226"/>
      <c r="N8" s="342">
        <f>+M8*3</f>
        <v>0</v>
      </c>
      <c r="O8" s="332"/>
      <c r="P8" s="333">
        <f>IF(O8&gt;25,150,(O8)*6)</f>
        <v>0</v>
      </c>
      <c r="Q8" s="195"/>
      <c r="R8" s="228">
        <f t="shared" si="0"/>
        <v>0</v>
      </c>
      <c r="S8" s="7"/>
      <c r="T8" s="144">
        <v>150</v>
      </c>
      <c r="U8" s="163">
        <f>+T8-T7</f>
        <v>9.2031333452021045</v>
      </c>
      <c r="V8" s="164" t="s">
        <v>232</v>
      </c>
      <c r="W8" s="9">
        <f>150-U8</f>
        <v>140.7968666547979</v>
      </c>
      <c r="Y8" s="169" t="s">
        <v>221</v>
      </c>
      <c r="Z8" s="169" t="s">
        <v>220</v>
      </c>
      <c r="AA8" s="169" t="s">
        <v>219</v>
      </c>
      <c r="AB8" s="169" t="s">
        <v>218</v>
      </c>
      <c r="AC8" s="169" t="s">
        <v>217</v>
      </c>
      <c r="AD8" s="169">
        <v>43348</v>
      </c>
      <c r="AE8" s="169"/>
      <c r="AF8" s="169"/>
    </row>
    <row r="9" spans="8:32">
      <c r="H9" s="357"/>
      <c r="I9" s="339" t="s">
        <v>0</v>
      </c>
      <c r="J9" s="350" t="s">
        <v>7</v>
      </c>
      <c r="K9" s="18"/>
      <c r="L9" s="213">
        <f>+K9*5</f>
        <v>0</v>
      </c>
      <c r="M9" s="341"/>
      <c r="N9" s="340">
        <f>5*M9</f>
        <v>0</v>
      </c>
      <c r="O9" s="330"/>
      <c r="P9" s="331">
        <v>0</v>
      </c>
      <c r="Q9" s="196"/>
      <c r="R9" s="23">
        <f t="shared" si="0"/>
        <v>0</v>
      </c>
      <c r="S9" s="7"/>
      <c r="T9" s="26"/>
      <c r="W9" s="162"/>
      <c r="Y9" s="267" t="s">
        <v>216</v>
      </c>
      <c r="Z9" s="267" t="s">
        <v>215</v>
      </c>
      <c r="AA9" s="267" t="s">
        <v>214</v>
      </c>
      <c r="AB9" s="267" t="s">
        <v>213</v>
      </c>
      <c r="AC9" s="267" t="s">
        <v>212</v>
      </c>
      <c r="AD9" s="267" t="s">
        <v>211</v>
      </c>
      <c r="AE9" s="267"/>
      <c r="AF9" s="267"/>
    </row>
    <row r="10" spans="8:32" ht="17.25" thickBot="1">
      <c r="H10" s="357"/>
      <c r="I10" s="339" t="s">
        <v>5</v>
      </c>
      <c r="J10" s="352" t="s">
        <v>71</v>
      </c>
      <c r="K10" s="18"/>
      <c r="L10" s="213">
        <f>+K10*3</f>
        <v>0</v>
      </c>
      <c r="M10" s="224"/>
      <c r="N10" s="342">
        <f>+M10*3</f>
        <v>0</v>
      </c>
      <c r="O10" s="334">
        <v>28</v>
      </c>
      <c r="P10" s="333">
        <f t="shared" ref="P10:P30" si="1">IF(O10&gt;25,150,(O10)*6)</f>
        <v>150</v>
      </c>
      <c r="Q10" s="196"/>
      <c r="R10" s="228">
        <f t="shared" si="0"/>
        <v>150</v>
      </c>
      <c r="S10" s="7"/>
      <c r="T10" s="137">
        <v>828</v>
      </c>
      <c r="U10" s="182">
        <v>107.64</v>
      </c>
      <c r="V10" s="139">
        <v>720.36</v>
      </c>
      <c r="W10" s="280" t="s">
        <v>74</v>
      </c>
      <c r="Y10" s="265" t="s">
        <v>210</v>
      </c>
      <c r="Z10" s="265" t="s">
        <v>209</v>
      </c>
      <c r="AA10" s="266" t="s">
        <v>208</v>
      </c>
      <c r="AB10" s="266" t="s">
        <v>207</v>
      </c>
      <c r="AC10" s="266" t="s">
        <v>206</v>
      </c>
      <c r="AD10" s="266" t="s">
        <v>205</v>
      </c>
      <c r="AE10" s="266" t="s">
        <v>204</v>
      </c>
      <c r="AF10" s="266" t="s">
        <v>203</v>
      </c>
    </row>
    <row r="11" spans="8:32">
      <c r="H11" s="357"/>
      <c r="I11" s="339" t="s">
        <v>27</v>
      </c>
      <c r="J11" s="352" t="s">
        <v>28</v>
      </c>
      <c r="K11" s="18"/>
      <c r="L11" s="213">
        <v>0</v>
      </c>
      <c r="M11" s="224"/>
      <c r="N11" s="342">
        <v>0</v>
      </c>
      <c r="O11" s="334"/>
      <c r="P11" s="333">
        <f t="shared" si="1"/>
        <v>0</v>
      </c>
      <c r="Q11" s="195"/>
      <c r="R11" s="31">
        <f t="shared" si="0"/>
        <v>0</v>
      </c>
      <c r="S11" s="7"/>
      <c r="T11" s="140">
        <f>+U11+V11</f>
        <v>827.58620689655174</v>
      </c>
      <c r="U11" s="284">
        <f>+U10*V11/V10</f>
        <v>107.58620689655173</v>
      </c>
      <c r="V11" s="141">
        <v>720</v>
      </c>
      <c r="W11" s="162"/>
      <c r="Y11" s="240" t="s">
        <v>202</v>
      </c>
      <c r="Z11" s="10" t="s">
        <v>201</v>
      </c>
      <c r="AA11" s="232">
        <v>43102</v>
      </c>
      <c r="AB11" s="239">
        <v>444</v>
      </c>
      <c r="AC11" s="281">
        <v>674</v>
      </c>
      <c r="AD11" s="239">
        <v>87.62</v>
      </c>
      <c r="AE11" s="239">
        <v>586.38</v>
      </c>
      <c r="AF11" s="238">
        <f t="shared" ref="AF11:AF26" si="2">720-AE11</f>
        <v>133.62</v>
      </c>
    </row>
    <row r="12" spans="8:32">
      <c r="H12" s="357"/>
      <c r="I12" s="339" t="s">
        <v>8</v>
      </c>
      <c r="J12" s="352" t="s">
        <v>29</v>
      </c>
      <c r="K12" s="35"/>
      <c r="L12" s="213"/>
      <c r="M12" s="224"/>
      <c r="N12" s="342">
        <v>0</v>
      </c>
      <c r="O12" s="334">
        <v>1</v>
      </c>
      <c r="P12" s="333">
        <f t="shared" si="1"/>
        <v>6</v>
      </c>
      <c r="Q12" s="195"/>
      <c r="R12" s="228">
        <f t="shared" si="0"/>
        <v>6</v>
      </c>
      <c r="S12" s="7"/>
      <c r="T12" s="142">
        <f>+T10-T11</f>
        <v>0.41379310344825626</v>
      </c>
      <c r="U12" s="183"/>
      <c r="V12" s="143"/>
      <c r="W12" s="4" t="s">
        <v>145</v>
      </c>
      <c r="Y12" s="240" t="s">
        <v>200</v>
      </c>
      <c r="Z12" s="10" t="s">
        <v>199</v>
      </c>
      <c r="AA12" s="232">
        <v>42837</v>
      </c>
      <c r="AB12" s="239">
        <v>204</v>
      </c>
      <c r="AC12" s="281">
        <v>344.8</v>
      </c>
      <c r="AD12" s="239">
        <v>44.82</v>
      </c>
      <c r="AE12" s="239">
        <v>299.98</v>
      </c>
      <c r="AF12" s="238">
        <f t="shared" si="2"/>
        <v>420.02</v>
      </c>
    </row>
    <row r="13" spans="8:32">
      <c r="H13" s="357"/>
      <c r="I13" s="339" t="s">
        <v>63</v>
      </c>
      <c r="J13" s="352" t="s">
        <v>33</v>
      </c>
      <c r="K13" s="35"/>
      <c r="L13" s="213"/>
      <c r="M13" s="224"/>
      <c r="N13" s="342">
        <f>+M13*3</f>
        <v>0</v>
      </c>
      <c r="O13" s="334">
        <v>28</v>
      </c>
      <c r="P13" s="333">
        <f t="shared" si="1"/>
        <v>150</v>
      </c>
      <c r="Q13" s="195"/>
      <c r="R13" s="228">
        <f t="shared" si="0"/>
        <v>150</v>
      </c>
      <c r="S13" s="7"/>
      <c r="T13" s="144">
        <v>150</v>
      </c>
      <c r="U13" s="163">
        <f>+T13-T12</f>
        <v>149.58620689655174</v>
      </c>
      <c r="V13" s="164" t="s">
        <v>232</v>
      </c>
      <c r="W13" s="9">
        <f>150-U13</f>
        <v>0.41379310344825626</v>
      </c>
      <c r="Y13" s="240" t="s">
        <v>198</v>
      </c>
      <c r="Z13" s="10" t="s">
        <v>143</v>
      </c>
      <c r="AA13" s="232">
        <v>42837</v>
      </c>
      <c r="AB13" s="239">
        <v>540</v>
      </c>
      <c r="AC13" s="281">
        <v>786</v>
      </c>
      <c r="AD13" s="239">
        <v>102.18</v>
      </c>
      <c r="AE13" s="239">
        <v>683.82</v>
      </c>
      <c r="AF13" s="238">
        <f t="shared" si="2"/>
        <v>36.17999999999995</v>
      </c>
    </row>
    <row r="14" spans="8:32">
      <c r="H14" s="357"/>
      <c r="I14" s="339" t="s">
        <v>24</v>
      </c>
      <c r="J14" s="352" t="s">
        <v>30</v>
      </c>
      <c r="K14" s="18"/>
      <c r="L14" s="213">
        <v>0</v>
      </c>
      <c r="M14" s="224"/>
      <c r="N14" s="342">
        <v>0</v>
      </c>
      <c r="O14" s="334"/>
      <c r="P14" s="333">
        <f t="shared" si="1"/>
        <v>0</v>
      </c>
      <c r="Q14" s="195"/>
      <c r="R14" s="31">
        <f t="shared" si="0"/>
        <v>0</v>
      </c>
      <c r="S14" s="7"/>
      <c r="T14" s="26"/>
      <c r="W14" s="162"/>
      <c r="Y14" s="240" t="s">
        <v>197</v>
      </c>
      <c r="Z14" s="10" t="s">
        <v>196</v>
      </c>
      <c r="AA14" s="232">
        <v>42046</v>
      </c>
      <c r="AB14" s="239">
        <v>274.27999999999997</v>
      </c>
      <c r="AC14" s="281">
        <v>323.58999999999997</v>
      </c>
      <c r="AD14" s="239">
        <v>42.07</v>
      </c>
      <c r="AE14" s="239">
        <v>281.52</v>
      </c>
      <c r="AF14" s="238">
        <f t="shared" si="2"/>
        <v>438.48</v>
      </c>
    </row>
    <row r="15" spans="8:32">
      <c r="H15" s="357"/>
      <c r="I15" s="339" t="s">
        <v>18</v>
      </c>
      <c r="J15" s="350" t="s">
        <v>72</v>
      </c>
      <c r="K15" s="18"/>
      <c r="L15" s="213">
        <f>+K15*3</f>
        <v>0</v>
      </c>
      <c r="M15" s="224"/>
      <c r="N15" s="342">
        <f>+M15*3</f>
        <v>0</v>
      </c>
      <c r="O15" s="334"/>
      <c r="P15" s="333">
        <f t="shared" si="1"/>
        <v>0</v>
      </c>
      <c r="Q15" s="196"/>
      <c r="R15" s="31">
        <f t="shared" si="0"/>
        <v>0</v>
      </c>
      <c r="S15" s="7"/>
      <c r="T15" s="137">
        <v>884</v>
      </c>
      <c r="U15" s="182">
        <v>114.92</v>
      </c>
      <c r="V15" s="139">
        <v>769.08</v>
      </c>
      <c r="W15" s="280" t="s">
        <v>51</v>
      </c>
      <c r="Y15" s="240" t="s">
        <v>195</v>
      </c>
      <c r="Z15" s="10" t="s">
        <v>194</v>
      </c>
      <c r="AA15" s="232">
        <v>42801</v>
      </c>
      <c r="AB15" s="239">
        <v>144</v>
      </c>
      <c r="AC15" s="281">
        <v>243.6</v>
      </c>
      <c r="AD15" s="239">
        <v>31.67</v>
      </c>
      <c r="AE15" s="239">
        <v>211.93</v>
      </c>
      <c r="AF15" s="238">
        <f t="shared" si="2"/>
        <v>508.07</v>
      </c>
    </row>
    <row r="16" spans="8:32">
      <c r="H16" s="355" t="s">
        <v>84</v>
      </c>
      <c r="I16" s="83" t="s">
        <v>6</v>
      </c>
      <c r="J16" s="82" t="s">
        <v>99</v>
      </c>
      <c r="K16" s="85"/>
      <c r="L16" s="217">
        <f>+K16*3</f>
        <v>0</v>
      </c>
      <c r="M16" s="343"/>
      <c r="N16" s="214">
        <f t="shared" ref="N16:N28" si="3">+M16*3</f>
        <v>0</v>
      </c>
      <c r="O16" s="88"/>
      <c r="P16" s="89">
        <f t="shared" si="1"/>
        <v>0</v>
      </c>
      <c r="Q16" s="197"/>
      <c r="R16" s="89">
        <f t="shared" si="0"/>
        <v>0</v>
      </c>
      <c r="S16" s="7"/>
      <c r="T16" s="140">
        <f>+U16+V16</f>
        <v>827.58620689655174</v>
      </c>
      <c r="U16" s="284">
        <f>+U15*V16/V15</f>
        <v>107.58620689655172</v>
      </c>
      <c r="V16" s="141">
        <v>720</v>
      </c>
      <c r="W16" s="162"/>
      <c r="Y16" s="240" t="s">
        <v>193</v>
      </c>
      <c r="Z16" s="10" t="s">
        <v>192</v>
      </c>
      <c r="AA16" s="232">
        <v>42499</v>
      </c>
      <c r="AB16" s="239">
        <v>12</v>
      </c>
      <c r="AC16" s="281">
        <v>21.2</v>
      </c>
      <c r="AD16" s="239">
        <v>2.76</v>
      </c>
      <c r="AE16" s="239">
        <v>18.440000000000001</v>
      </c>
      <c r="AF16" s="238">
        <f t="shared" si="2"/>
        <v>701.56</v>
      </c>
    </row>
    <row r="17" spans="4:32">
      <c r="H17" s="357"/>
      <c r="I17" s="339" t="s">
        <v>31</v>
      </c>
      <c r="J17" s="352" t="s">
        <v>32</v>
      </c>
      <c r="K17" s="35"/>
      <c r="L17" s="213"/>
      <c r="M17" s="224"/>
      <c r="N17" s="342">
        <f t="shared" si="3"/>
        <v>0</v>
      </c>
      <c r="O17" s="334">
        <v>24</v>
      </c>
      <c r="P17" s="333">
        <f t="shared" si="1"/>
        <v>144</v>
      </c>
      <c r="Q17" s="195"/>
      <c r="R17" s="228">
        <f t="shared" si="0"/>
        <v>144</v>
      </c>
      <c r="S17" s="7"/>
      <c r="T17" s="142">
        <f>+T15-T16</f>
        <v>56.413793103448256</v>
      </c>
      <c r="U17" s="183"/>
      <c r="V17" s="143"/>
      <c r="W17" s="4" t="s">
        <v>145</v>
      </c>
      <c r="Y17" s="245" t="s">
        <v>191</v>
      </c>
      <c r="Z17" s="244" t="s">
        <v>190</v>
      </c>
      <c r="AA17" s="243">
        <v>42046</v>
      </c>
      <c r="AB17" s="242">
        <v>696</v>
      </c>
      <c r="AC17" s="282">
        <v>968</v>
      </c>
      <c r="AD17" s="242">
        <v>125.45</v>
      </c>
      <c r="AE17" s="241">
        <v>842.55</v>
      </c>
      <c r="AF17" s="319">
        <f t="shared" si="2"/>
        <v>-122.54999999999995</v>
      </c>
    </row>
    <row r="18" spans="4:32">
      <c r="H18" s="357"/>
      <c r="I18" s="339" t="s">
        <v>54</v>
      </c>
      <c r="J18" s="352" t="s">
        <v>55</v>
      </c>
      <c r="K18" s="18"/>
      <c r="L18" s="213">
        <f>+K18*3</f>
        <v>0</v>
      </c>
      <c r="M18" s="224"/>
      <c r="N18" s="342">
        <f t="shared" si="3"/>
        <v>0</v>
      </c>
      <c r="O18" s="334"/>
      <c r="P18" s="333">
        <f t="shared" si="1"/>
        <v>0</v>
      </c>
      <c r="Q18" s="195"/>
      <c r="R18" s="31">
        <f t="shared" si="0"/>
        <v>0</v>
      </c>
      <c r="S18" s="7"/>
      <c r="T18" s="144">
        <v>150</v>
      </c>
      <c r="U18" s="163">
        <f>+T18-T17+0.01</f>
        <v>93.596206896551749</v>
      </c>
      <c r="V18" s="164" t="s">
        <v>232</v>
      </c>
      <c r="W18" s="9">
        <f>150-U18</f>
        <v>56.403793103448251</v>
      </c>
      <c r="Y18" s="240" t="s">
        <v>189</v>
      </c>
      <c r="Z18" s="10" t="s">
        <v>188</v>
      </c>
      <c r="AA18" s="232">
        <v>43347</v>
      </c>
      <c r="AB18" s="239">
        <v>432</v>
      </c>
      <c r="AC18" s="281">
        <v>660</v>
      </c>
      <c r="AD18" s="239">
        <v>85.8</v>
      </c>
      <c r="AE18" s="239">
        <v>574.20000000000005</v>
      </c>
      <c r="AF18" s="238">
        <f t="shared" si="2"/>
        <v>145.79999999999995</v>
      </c>
    </row>
    <row r="19" spans="4:32">
      <c r="H19" s="357"/>
      <c r="I19" s="113" t="s">
        <v>10</v>
      </c>
      <c r="J19" s="351" t="s">
        <v>34</v>
      </c>
      <c r="K19" s="115"/>
      <c r="L19" s="215"/>
      <c r="M19" s="226"/>
      <c r="N19" s="342">
        <f t="shared" si="3"/>
        <v>0</v>
      </c>
      <c r="O19" s="332">
        <v>27</v>
      </c>
      <c r="P19" s="333">
        <f t="shared" si="1"/>
        <v>150</v>
      </c>
      <c r="Q19" s="195"/>
      <c r="R19" s="228">
        <f t="shared" si="0"/>
        <v>150</v>
      </c>
      <c r="S19" s="7"/>
      <c r="T19" s="26"/>
      <c r="W19" s="162"/>
      <c r="Y19" s="240" t="s">
        <v>187</v>
      </c>
      <c r="Z19" s="10" t="s">
        <v>186</v>
      </c>
      <c r="AA19" s="232">
        <v>42837</v>
      </c>
      <c r="AB19" s="239">
        <v>504</v>
      </c>
      <c r="AC19" s="281">
        <v>744</v>
      </c>
      <c r="AD19" s="239">
        <v>91.22</v>
      </c>
      <c r="AE19" s="239">
        <v>652.78</v>
      </c>
      <c r="AF19" s="238">
        <f t="shared" si="2"/>
        <v>67.220000000000027</v>
      </c>
    </row>
    <row r="20" spans="4:32">
      <c r="H20" s="356" t="s">
        <v>165</v>
      </c>
      <c r="I20" s="83" t="s">
        <v>9</v>
      </c>
      <c r="J20" s="353" t="s">
        <v>35</v>
      </c>
      <c r="K20" s="222"/>
      <c r="L20" s="217"/>
      <c r="M20" s="343"/>
      <c r="N20" s="214">
        <f t="shared" si="3"/>
        <v>0</v>
      </c>
      <c r="O20" s="88">
        <v>27</v>
      </c>
      <c r="P20" s="89">
        <f t="shared" si="1"/>
        <v>150</v>
      </c>
      <c r="Q20" s="197"/>
      <c r="R20" s="89">
        <f t="shared" si="0"/>
        <v>150</v>
      </c>
      <c r="S20" s="7"/>
      <c r="T20" s="268"/>
      <c r="U20" s="269"/>
      <c r="V20" s="270"/>
      <c r="W20" s="271"/>
      <c r="Y20" s="240" t="s">
        <v>185</v>
      </c>
      <c r="Z20" s="10" t="s">
        <v>184</v>
      </c>
      <c r="AA20" s="232">
        <v>42125</v>
      </c>
      <c r="AB20" s="239">
        <v>432</v>
      </c>
      <c r="AC20" s="281">
        <v>660</v>
      </c>
      <c r="AD20" s="239">
        <v>80.92</v>
      </c>
      <c r="AE20" s="239">
        <v>579.08000000000004</v>
      </c>
      <c r="AF20" s="238">
        <f t="shared" si="2"/>
        <v>140.91999999999996</v>
      </c>
    </row>
    <row r="21" spans="4:32">
      <c r="H21" s="356" t="s">
        <v>165</v>
      </c>
      <c r="I21" s="83" t="s">
        <v>36</v>
      </c>
      <c r="J21" s="353" t="s">
        <v>37</v>
      </c>
      <c r="K21" s="222"/>
      <c r="L21" s="217"/>
      <c r="M21" s="343"/>
      <c r="N21" s="214">
        <f t="shared" si="3"/>
        <v>0</v>
      </c>
      <c r="O21" s="88">
        <v>1</v>
      </c>
      <c r="P21" s="89">
        <f t="shared" si="1"/>
        <v>6</v>
      </c>
      <c r="Q21" s="197"/>
      <c r="R21" s="89">
        <f t="shared" si="0"/>
        <v>6</v>
      </c>
      <c r="S21" s="7"/>
      <c r="T21" s="268"/>
      <c r="U21" s="269"/>
      <c r="V21" s="272"/>
      <c r="W21" s="273"/>
      <c r="Y21" s="245" t="s">
        <v>183</v>
      </c>
      <c r="Z21" s="244" t="s">
        <v>74</v>
      </c>
      <c r="AA21" s="243">
        <v>42499</v>
      </c>
      <c r="AB21" s="242">
        <v>576</v>
      </c>
      <c r="AC21" s="282">
        <v>828</v>
      </c>
      <c r="AD21" s="242">
        <v>107.64</v>
      </c>
      <c r="AE21" s="241">
        <v>720.36</v>
      </c>
      <c r="AF21" s="319">
        <f t="shared" si="2"/>
        <v>-0.36000000000001364</v>
      </c>
    </row>
    <row r="22" spans="4:32">
      <c r="H22" s="357"/>
      <c r="I22" s="339" t="s">
        <v>64</v>
      </c>
      <c r="J22" s="352" t="s">
        <v>65</v>
      </c>
      <c r="K22" s="35"/>
      <c r="L22" s="213"/>
      <c r="M22" s="224"/>
      <c r="N22" s="342">
        <v>0</v>
      </c>
      <c r="O22" s="334"/>
      <c r="P22" s="333">
        <f t="shared" si="1"/>
        <v>0</v>
      </c>
      <c r="Q22" s="195"/>
      <c r="R22" s="228">
        <f t="shared" si="0"/>
        <v>0</v>
      </c>
      <c r="S22" s="7"/>
      <c r="T22" s="274"/>
      <c r="U22" s="269"/>
      <c r="V22" s="270"/>
      <c r="W22" s="275"/>
      <c r="Y22" s="245" t="s">
        <v>182</v>
      </c>
      <c r="Z22" s="244" t="s">
        <v>51</v>
      </c>
      <c r="AA22" s="243">
        <v>42375</v>
      </c>
      <c r="AB22" s="242">
        <v>624</v>
      </c>
      <c r="AC22" s="282">
        <v>884</v>
      </c>
      <c r="AD22" s="242">
        <v>114.92</v>
      </c>
      <c r="AE22" s="241">
        <v>769.08</v>
      </c>
      <c r="AF22" s="319">
        <f t="shared" si="2"/>
        <v>-49.080000000000041</v>
      </c>
    </row>
    <row r="23" spans="4:32">
      <c r="H23" s="357"/>
      <c r="I23" s="339" t="s">
        <v>13</v>
      </c>
      <c r="J23" s="352" t="s">
        <v>38</v>
      </c>
      <c r="K23" s="35"/>
      <c r="L23" s="213"/>
      <c r="M23" s="224"/>
      <c r="N23" s="342">
        <f t="shared" si="3"/>
        <v>0</v>
      </c>
      <c r="O23" s="334">
        <v>2</v>
      </c>
      <c r="P23" s="333">
        <f t="shared" si="1"/>
        <v>12</v>
      </c>
      <c r="Q23" s="195"/>
      <c r="R23" s="228">
        <f t="shared" si="0"/>
        <v>12</v>
      </c>
      <c r="S23" s="7"/>
      <c r="T23" s="268"/>
      <c r="U23" s="276"/>
      <c r="V23" s="277"/>
      <c r="W23" s="276"/>
      <c r="Y23" s="240" t="s">
        <v>181</v>
      </c>
      <c r="Z23" s="10" t="s">
        <v>180</v>
      </c>
      <c r="AA23" s="232">
        <v>42375</v>
      </c>
      <c r="AB23" s="239">
        <v>492</v>
      </c>
      <c r="AC23" s="281">
        <v>730</v>
      </c>
      <c r="AD23" s="239">
        <v>94.9</v>
      </c>
      <c r="AE23" s="239">
        <v>635.1</v>
      </c>
      <c r="AF23" s="238">
        <f t="shared" si="2"/>
        <v>84.899999999999977</v>
      </c>
    </row>
    <row r="24" spans="4:32">
      <c r="H24" s="357"/>
      <c r="I24" s="339" t="s">
        <v>39</v>
      </c>
      <c r="J24" s="352" t="s">
        <v>40</v>
      </c>
      <c r="K24" s="35"/>
      <c r="L24" s="213"/>
      <c r="M24" s="224"/>
      <c r="N24" s="342">
        <f t="shared" si="3"/>
        <v>0</v>
      </c>
      <c r="O24" s="334"/>
      <c r="P24" s="333">
        <f t="shared" si="1"/>
        <v>0</v>
      </c>
      <c r="Q24" s="195"/>
      <c r="R24" s="31">
        <f t="shared" si="0"/>
        <v>0</v>
      </c>
      <c r="S24" s="7"/>
      <c r="T24" s="268"/>
      <c r="U24" s="269"/>
      <c r="V24" s="270"/>
      <c r="W24" s="275"/>
      <c r="Y24" s="240" t="s">
        <v>179</v>
      </c>
      <c r="Z24" s="10" t="s">
        <v>49</v>
      </c>
      <c r="AA24" s="232">
        <v>42897</v>
      </c>
      <c r="AB24" s="239">
        <v>12</v>
      </c>
      <c r="AC24" s="281">
        <v>21.2</v>
      </c>
      <c r="AD24" s="239">
        <v>2.64</v>
      </c>
      <c r="AE24" s="239">
        <v>18.559999999999999</v>
      </c>
      <c r="AF24" s="238">
        <f t="shared" si="2"/>
        <v>701.44</v>
      </c>
    </row>
    <row r="25" spans="4:32">
      <c r="H25" s="355" t="s">
        <v>84</v>
      </c>
      <c r="I25" s="83" t="s">
        <v>19</v>
      </c>
      <c r="J25" s="82" t="s">
        <v>20</v>
      </c>
      <c r="K25" s="85"/>
      <c r="L25" s="217">
        <f>+K25*3</f>
        <v>0</v>
      </c>
      <c r="M25" s="343"/>
      <c r="N25" s="214">
        <f t="shared" si="3"/>
        <v>0</v>
      </c>
      <c r="O25" s="88"/>
      <c r="P25" s="89">
        <f t="shared" si="1"/>
        <v>0</v>
      </c>
      <c r="Q25" s="197"/>
      <c r="R25" s="89">
        <f t="shared" si="0"/>
        <v>0</v>
      </c>
      <c r="S25" s="7"/>
      <c r="T25" s="268"/>
      <c r="U25" s="269"/>
      <c r="V25" s="270"/>
      <c r="W25" s="271"/>
      <c r="Y25" s="240" t="s">
        <v>178</v>
      </c>
      <c r="Z25" s="10" t="s">
        <v>177</v>
      </c>
      <c r="AA25" s="232" t="s">
        <v>176</v>
      </c>
      <c r="AB25" s="239">
        <v>444</v>
      </c>
      <c r="AC25" s="281">
        <v>674</v>
      </c>
      <c r="AD25" s="239">
        <v>87.62</v>
      </c>
      <c r="AE25" s="239">
        <v>586.38</v>
      </c>
      <c r="AF25" s="238">
        <f t="shared" si="2"/>
        <v>133.62</v>
      </c>
    </row>
    <row r="26" spans="4:32">
      <c r="H26" s="357"/>
      <c r="I26" s="339" t="s">
        <v>41</v>
      </c>
      <c r="J26" s="352" t="s">
        <v>42</v>
      </c>
      <c r="K26" s="35"/>
      <c r="L26" s="213"/>
      <c r="M26" s="224"/>
      <c r="N26" s="342">
        <f t="shared" si="3"/>
        <v>0</v>
      </c>
      <c r="O26" s="334">
        <v>34</v>
      </c>
      <c r="P26" s="333">
        <f t="shared" si="1"/>
        <v>150</v>
      </c>
      <c r="Q26" s="195"/>
      <c r="R26" s="228">
        <f t="shared" si="0"/>
        <v>150</v>
      </c>
      <c r="S26" s="7"/>
      <c r="T26" s="268"/>
      <c r="U26" s="269"/>
      <c r="V26" s="272"/>
      <c r="W26" s="275"/>
      <c r="Y26" s="240" t="s">
        <v>175</v>
      </c>
      <c r="Z26" s="10" t="s">
        <v>57</v>
      </c>
      <c r="AA26" s="232">
        <v>42889</v>
      </c>
      <c r="AB26" s="239">
        <v>528</v>
      </c>
      <c r="AC26" s="281">
        <v>772</v>
      </c>
      <c r="AD26" s="239">
        <v>90.63</v>
      </c>
      <c r="AE26" s="239">
        <v>681.37</v>
      </c>
      <c r="AF26" s="238">
        <f t="shared" si="2"/>
        <v>38.629999999999995</v>
      </c>
    </row>
    <row r="27" spans="4:32">
      <c r="H27" s="357"/>
      <c r="I27" s="339" t="s">
        <v>26</v>
      </c>
      <c r="J27" s="352" t="s">
        <v>48</v>
      </c>
      <c r="K27" s="18"/>
      <c r="L27" s="213">
        <v>0</v>
      </c>
      <c r="M27" s="224"/>
      <c r="N27" s="342">
        <f t="shared" si="3"/>
        <v>0</v>
      </c>
      <c r="O27" s="334">
        <v>21</v>
      </c>
      <c r="P27" s="333">
        <f t="shared" si="1"/>
        <v>126</v>
      </c>
      <c r="Q27" s="195"/>
      <c r="R27" s="228">
        <f>+L27+N30+P27+Q27</f>
        <v>126</v>
      </c>
      <c r="S27" s="7"/>
      <c r="T27" s="274"/>
      <c r="U27" s="269"/>
      <c r="V27" s="270"/>
      <c r="W27" s="278"/>
      <c r="Y27" s="130"/>
      <c r="Z27" s="237"/>
      <c r="AA27" s="236"/>
      <c r="AB27" s="235">
        <f>SUM(AB11:AB26)</f>
        <v>6358.28</v>
      </c>
      <c r="AC27" s="283">
        <f>SUM(AC11:AC26)</f>
        <v>9334.39</v>
      </c>
      <c r="AD27" s="235">
        <f>SUM(AD11:AD26)</f>
        <v>1192.8600000000001</v>
      </c>
      <c r="AE27" s="235">
        <f>SUM(AE11:AE26)</f>
        <v>8141.53</v>
      </c>
      <c r="AF27" s="234"/>
    </row>
    <row r="28" spans="4:32">
      <c r="H28" s="357"/>
      <c r="I28" s="339" t="s">
        <v>67</v>
      </c>
      <c r="J28" s="350" t="s">
        <v>68</v>
      </c>
      <c r="K28" s="18"/>
      <c r="L28" s="213">
        <v>0</v>
      </c>
      <c r="M28" s="341"/>
      <c r="N28" s="342">
        <f t="shared" si="3"/>
        <v>0</v>
      </c>
      <c r="O28" s="330"/>
      <c r="P28" s="333">
        <f t="shared" si="1"/>
        <v>0</v>
      </c>
      <c r="Q28" s="196"/>
      <c r="R28" s="31">
        <f t="shared" si="0"/>
        <v>0</v>
      </c>
      <c r="S28" s="7"/>
      <c r="T28" s="268"/>
      <c r="U28" s="276"/>
      <c r="V28" s="277"/>
      <c r="W28" s="279"/>
      <c r="Y28" s="233"/>
      <c r="Z28" s="10"/>
      <c r="AA28" s="232"/>
      <c r="AB28" s="231"/>
      <c r="AC28" s="231"/>
      <c r="AD28" s="231"/>
      <c r="AE28" s="231"/>
      <c r="AF28" s="230"/>
    </row>
    <row r="29" spans="4:32">
      <c r="H29" s="355" t="s">
        <v>84</v>
      </c>
      <c r="I29" s="83" t="s">
        <v>21</v>
      </c>
      <c r="J29" s="82" t="s">
        <v>152</v>
      </c>
      <c r="K29" s="85"/>
      <c r="L29" s="217">
        <v>0</v>
      </c>
      <c r="M29" s="343"/>
      <c r="N29" s="214">
        <v>0</v>
      </c>
      <c r="O29" s="88">
        <v>24</v>
      </c>
      <c r="P29" s="89">
        <f t="shared" si="1"/>
        <v>144</v>
      </c>
      <c r="Q29" s="197"/>
      <c r="R29" s="89">
        <f t="shared" si="0"/>
        <v>144</v>
      </c>
      <c r="S29" s="7"/>
      <c r="T29" s="268"/>
      <c r="U29" s="269"/>
      <c r="V29" s="270"/>
      <c r="W29" s="275"/>
      <c r="Y29" s="289" t="s">
        <v>233</v>
      </c>
      <c r="Z29" s="264"/>
      <c r="AA29" s="264"/>
      <c r="AB29" s="264"/>
      <c r="AC29" s="250" t="s">
        <v>229</v>
      </c>
      <c r="AD29" s="249" t="s">
        <v>213</v>
      </c>
      <c r="AE29" s="249"/>
    </row>
    <row r="30" spans="4:32">
      <c r="H30" s="356" t="s">
        <v>165</v>
      </c>
      <c r="I30" s="83" t="s">
        <v>43</v>
      </c>
      <c r="J30" s="82" t="s">
        <v>73</v>
      </c>
      <c r="K30" s="85"/>
      <c r="L30" s="217">
        <v>0</v>
      </c>
      <c r="M30" s="343"/>
      <c r="N30" s="214">
        <f>+M27*3</f>
        <v>0</v>
      </c>
      <c r="O30" s="88">
        <v>27</v>
      </c>
      <c r="P30" s="89">
        <f t="shared" si="1"/>
        <v>150</v>
      </c>
      <c r="Q30" s="197"/>
      <c r="R30" s="89">
        <f>+L30+N32+P30+Q30</f>
        <v>150</v>
      </c>
      <c r="S30" s="7"/>
      <c r="T30" s="268"/>
      <c r="U30" s="269"/>
      <c r="V30" s="270"/>
      <c r="W30" s="271"/>
      <c r="Y30" s="259" t="s">
        <v>228</v>
      </c>
      <c r="Z30" s="263" t="s">
        <v>227</v>
      </c>
      <c r="AA30" s="262"/>
      <c r="AB30" s="262"/>
      <c r="AC30" s="250" t="s">
        <v>226</v>
      </c>
      <c r="AD30" s="261" t="s">
        <v>213</v>
      </c>
      <c r="AE30" s="261"/>
    </row>
    <row r="31" spans="4:32">
      <c r="H31" s="358"/>
      <c r="I31" s="113" t="s">
        <v>44</v>
      </c>
      <c r="J31" s="351" t="s">
        <v>45</v>
      </c>
      <c r="K31" s="120"/>
      <c r="L31" s="215">
        <f>+K31*3</f>
        <v>0</v>
      </c>
      <c r="M31" s="226"/>
      <c r="N31" s="342">
        <v>0</v>
      </c>
      <c r="O31" s="332">
        <v>25</v>
      </c>
      <c r="P31" s="333">
        <f>IF(O31&gt;25,150,(O31)*6)</f>
        <v>150</v>
      </c>
      <c r="Q31" s="196"/>
      <c r="R31" s="229">
        <f t="shared" si="0"/>
        <v>150</v>
      </c>
      <c r="S31" s="7"/>
      <c r="T31" s="268"/>
      <c r="U31" s="269"/>
      <c r="V31" s="272"/>
      <c r="W31" s="275"/>
      <c r="Y31" s="259" t="s">
        <v>225</v>
      </c>
      <c r="Z31" s="251" t="s">
        <v>224</v>
      </c>
      <c r="AA31" s="250" t="s">
        <v>223</v>
      </c>
      <c r="AB31" s="255">
        <v>43256</v>
      </c>
      <c r="AC31" s="258" t="s">
        <v>222</v>
      </c>
      <c r="AD31" s="257">
        <v>2018</v>
      </c>
      <c r="AE31" s="10"/>
    </row>
    <row r="32" spans="4:32" s="4" customFormat="1">
      <c r="D32" s="3"/>
      <c r="F32" s="166"/>
      <c r="H32" s="358"/>
      <c r="I32" s="113" t="s">
        <v>14</v>
      </c>
      <c r="J32" s="351" t="s">
        <v>66</v>
      </c>
      <c r="K32" s="120"/>
      <c r="L32" s="215">
        <f>+K32*3</f>
        <v>0</v>
      </c>
      <c r="M32" s="226"/>
      <c r="N32" s="342">
        <f>+M30*3</f>
        <v>0</v>
      </c>
      <c r="O32" s="332"/>
      <c r="P32" s="333">
        <f>IF(O32&gt;25,150,(O32)*6)</f>
        <v>0</v>
      </c>
      <c r="Q32" s="196"/>
      <c r="R32" s="229">
        <f t="shared" si="0"/>
        <v>0</v>
      </c>
      <c r="S32" s="7"/>
      <c r="T32" s="274"/>
      <c r="U32" s="269"/>
      <c r="V32" s="270"/>
      <c r="W32" s="278"/>
      <c r="Y32" s="252" t="s">
        <v>221</v>
      </c>
      <c r="Z32" s="251" t="s">
        <v>220</v>
      </c>
      <c r="AA32" s="250" t="s">
        <v>219</v>
      </c>
      <c r="AB32" s="254" t="s">
        <v>218</v>
      </c>
      <c r="AC32" s="250" t="s">
        <v>217</v>
      </c>
      <c r="AD32" s="255">
        <v>43348</v>
      </c>
      <c r="AE32" s="249"/>
    </row>
    <row r="33" spans="8:31">
      <c r="H33" s="357"/>
      <c r="I33" s="339" t="s">
        <v>15</v>
      </c>
      <c r="J33" s="350" t="s">
        <v>16</v>
      </c>
      <c r="K33" s="18"/>
      <c r="L33" s="213">
        <f>+K33*3</f>
        <v>0</v>
      </c>
      <c r="M33" s="224"/>
      <c r="N33" s="340">
        <f>5*M33</f>
        <v>0</v>
      </c>
      <c r="O33" s="334"/>
      <c r="P33" s="331">
        <f t="shared" ref="P33:P42" si="4">IF(O33&gt;25,150,(O33)*6)</f>
        <v>0</v>
      </c>
      <c r="Q33" s="196"/>
      <c r="R33" s="23">
        <f t="shared" si="0"/>
        <v>0</v>
      </c>
      <c r="S33" s="7"/>
      <c r="T33" s="268"/>
      <c r="U33" s="276"/>
      <c r="V33" s="277"/>
      <c r="W33" s="279"/>
      <c r="Y33" s="252" t="s">
        <v>216</v>
      </c>
      <c r="Z33" s="251" t="s">
        <v>215</v>
      </c>
      <c r="AA33" s="250" t="s">
        <v>214</v>
      </c>
      <c r="AB33" s="249" t="s">
        <v>213</v>
      </c>
      <c r="AC33" s="250" t="s">
        <v>212</v>
      </c>
      <c r="AD33" s="249" t="s">
        <v>211</v>
      </c>
      <c r="AE33" s="249"/>
    </row>
    <row r="34" spans="8:31" ht="17.25" thickBot="1">
      <c r="H34" s="357"/>
      <c r="I34" s="339" t="s">
        <v>17</v>
      </c>
      <c r="J34" s="352" t="s">
        <v>119</v>
      </c>
      <c r="K34" s="35"/>
      <c r="L34" s="213"/>
      <c r="M34" s="224"/>
      <c r="N34" s="342">
        <v>0</v>
      </c>
      <c r="O34" s="334">
        <v>25</v>
      </c>
      <c r="P34" s="333">
        <f t="shared" si="4"/>
        <v>150</v>
      </c>
      <c r="Q34" s="195"/>
      <c r="R34" s="228">
        <f t="shared" si="0"/>
        <v>150</v>
      </c>
      <c r="S34" s="7"/>
      <c r="T34" s="270"/>
      <c r="U34" s="269"/>
      <c r="V34" s="270"/>
      <c r="W34" s="275"/>
      <c r="Y34" s="247" t="s">
        <v>210</v>
      </c>
      <c r="Z34" s="247" t="s">
        <v>209</v>
      </c>
      <c r="AA34" s="246" t="s">
        <v>208</v>
      </c>
      <c r="AB34" s="246" t="s">
        <v>207</v>
      </c>
      <c r="AC34" s="246" t="s">
        <v>206</v>
      </c>
      <c r="AD34" s="246" t="s">
        <v>205</v>
      </c>
      <c r="AE34" s="246" t="s">
        <v>204</v>
      </c>
    </row>
    <row r="35" spans="8:31">
      <c r="H35" s="357"/>
      <c r="I35" s="113" t="s">
        <v>75</v>
      </c>
      <c r="J35" s="351" t="s">
        <v>76</v>
      </c>
      <c r="K35" s="115"/>
      <c r="L35" s="215"/>
      <c r="M35" s="226"/>
      <c r="N35" s="342">
        <f>+M35*3</f>
        <v>0</v>
      </c>
      <c r="O35" s="332">
        <v>24</v>
      </c>
      <c r="P35" s="333">
        <f t="shared" si="4"/>
        <v>144</v>
      </c>
      <c r="Q35" s="195"/>
      <c r="R35" s="228">
        <f t="shared" si="0"/>
        <v>144</v>
      </c>
      <c r="S35" s="7"/>
      <c r="T35" s="268"/>
      <c r="U35" s="269"/>
      <c r="V35" s="270"/>
      <c r="W35" s="271"/>
      <c r="Y35" s="240" t="s">
        <v>202</v>
      </c>
      <c r="Z35" s="10" t="s">
        <v>201</v>
      </c>
      <c r="AA35" s="232">
        <v>43102</v>
      </c>
      <c r="AB35" s="239">
        <v>444</v>
      </c>
      <c r="AC35" s="239">
        <v>674</v>
      </c>
      <c r="AD35" s="239">
        <v>87.62</v>
      </c>
      <c r="AE35" s="239">
        <v>586.38</v>
      </c>
    </row>
    <row r="36" spans="8:31">
      <c r="H36" s="357"/>
      <c r="I36" s="113" t="s">
        <v>146</v>
      </c>
      <c r="J36" s="351" t="s">
        <v>55</v>
      </c>
      <c r="K36" s="115"/>
      <c r="L36" s="215"/>
      <c r="M36" s="226"/>
      <c r="N36" s="342">
        <v>0</v>
      </c>
      <c r="O36" s="332"/>
      <c r="P36" s="333">
        <f t="shared" si="4"/>
        <v>0</v>
      </c>
      <c r="Q36" s="195"/>
      <c r="R36" s="31">
        <f t="shared" si="0"/>
        <v>0</v>
      </c>
      <c r="S36" s="7"/>
      <c r="T36" s="268"/>
      <c r="U36" s="269"/>
      <c r="V36" s="272"/>
      <c r="W36" s="273"/>
      <c r="Y36" s="240" t="s">
        <v>200</v>
      </c>
      <c r="Z36" s="10" t="s">
        <v>199</v>
      </c>
      <c r="AA36" s="232">
        <v>42837</v>
      </c>
      <c r="AB36" s="239">
        <v>204</v>
      </c>
      <c r="AC36" s="239">
        <v>344.8</v>
      </c>
      <c r="AD36" s="239">
        <v>44.82</v>
      </c>
      <c r="AE36" s="239">
        <v>299.98</v>
      </c>
    </row>
    <row r="37" spans="8:31">
      <c r="H37" s="357"/>
      <c r="I37" s="113" t="s">
        <v>69</v>
      </c>
      <c r="J37" s="351" t="s">
        <v>70</v>
      </c>
      <c r="K37" s="115"/>
      <c r="L37" s="215">
        <v>0</v>
      </c>
      <c r="M37" s="226"/>
      <c r="N37" s="342">
        <f>+M37*3</f>
        <v>0</v>
      </c>
      <c r="O37" s="332">
        <v>21</v>
      </c>
      <c r="P37" s="333">
        <f t="shared" si="4"/>
        <v>126</v>
      </c>
      <c r="Q37" s="195"/>
      <c r="R37" s="228">
        <f t="shared" si="0"/>
        <v>126</v>
      </c>
      <c r="S37" s="7"/>
      <c r="T37" s="274"/>
      <c r="U37" s="269"/>
      <c r="V37" s="270"/>
      <c r="W37" s="275"/>
      <c r="Y37" s="240" t="s">
        <v>198</v>
      </c>
      <c r="Z37" s="10" t="s">
        <v>143</v>
      </c>
      <c r="AA37" s="232">
        <v>42837</v>
      </c>
      <c r="AB37" s="239">
        <v>540</v>
      </c>
      <c r="AC37" s="239">
        <v>786</v>
      </c>
      <c r="AD37" s="239">
        <v>102.18</v>
      </c>
      <c r="AE37" s="239">
        <v>683.82</v>
      </c>
    </row>
    <row r="38" spans="8:31">
      <c r="H38" s="357"/>
      <c r="I38" s="339" t="s">
        <v>91</v>
      </c>
      <c r="J38" s="352" t="s">
        <v>92</v>
      </c>
      <c r="K38" s="35"/>
      <c r="L38" s="213">
        <v>0</v>
      </c>
      <c r="M38" s="224"/>
      <c r="N38" s="342">
        <f>+M38*3</f>
        <v>0</v>
      </c>
      <c r="O38" s="334">
        <v>21</v>
      </c>
      <c r="P38" s="333">
        <f t="shared" si="4"/>
        <v>126</v>
      </c>
      <c r="Q38" s="195"/>
      <c r="R38" s="228">
        <f t="shared" si="0"/>
        <v>126</v>
      </c>
      <c r="S38" s="7"/>
      <c r="T38" s="268"/>
      <c r="U38" s="276"/>
      <c r="V38" s="277"/>
      <c r="W38" s="276"/>
      <c r="Y38" s="240" t="s">
        <v>197</v>
      </c>
      <c r="Z38" s="10" t="s">
        <v>196</v>
      </c>
      <c r="AA38" s="232">
        <v>42046</v>
      </c>
      <c r="AB38" s="239">
        <v>274.27999999999997</v>
      </c>
      <c r="AC38" s="239">
        <v>323.58999999999997</v>
      </c>
      <c r="AD38" s="239">
        <v>42.07</v>
      </c>
      <c r="AE38" s="239">
        <v>281.52</v>
      </c>
    </row>
    <row r="39" spans="8:31">
      <c r="H39" s="357"/>
      <c r="I39" s="339" t="s">
        <v>93</v>
      </c>
      <c r="J39" s="350" t="s">
        <v>94</v>
      </c>
      <c r="K39" s="18"/>
      <c r="L39" s="213">
        <v>0</v>
      </c>
      <c r="M39" s="224"/>
      <c r="N39" s="342">
        <v>0</v>
      </c>
      <c r="O39" s="334"/>
      <c r="P39" s="333">
        <f t="shared" si="4"/>
        <v>0</v>
      </c>
      <c r="Q39" s="196"/>
      <c r="R39" s="31">
        <f t="shared" si="0"/>
        <v>0</v>
      </c>
      <c r="S39" s="7"/>
      <c r="T39" s="270"/>
      <c r="U39" s="269"/>
      <c r="V39" s="270"/>
      <c r="W39" s="275"/>
      <c r="Y39" s="240" t="s">
        <v>195</v>
      </c>
      <c r="Z39" s="10" t="s">
        <v>194</v>
      </c>
      <c r="AA39" s="232">
        <v>42801</v>
      </c>
      <c r="AB39" s="239">
        <v>144</v>
      </c>
      <c r="AC39" s="239">
        <v>243.6</v>
      </c>
      <c r="AD39" s="239">
        <v>31.67</v>
      </c>
      <c r="AE39" s="239">
        <v>211.93</v>
      </c>
    </row>
    <row r="40" spans="8:31">
      <c r="H40" s="357"/>
      <c r="I40" s="339" t="s">
        <v>120</v>
      </c>
      <c r="J40" s="350" t="s">
        <v>121</v>
      </c>
      <c r="K40" s="18"/>
      <c r="L40" s="213">
        <v>0</v>
      </c>
      <c r="M40" s="224"/>
      <c r="N40" s="342">
        <v>0</v>
      </c>
      <c r="O40" s="334"/>
      <c r="P40" s="333">
        <f t="shared" si="4"/>
        <v>0</v>
      </c>
      <c r="Q40" s="196"/>
      <c r="R40" s="31">
        <f t="shared" si="0"/>
        <v>0</v>
      </c>
      <c r="S40" s="7"/>
      <c r="T40" s="268"/>
      <c r="U40" s="269"/>
      <c r="V40" s="270"/>
      <c r="W40" s="271"/>
      <c r="Y40" s="240" t="s">
        <v>193</v>
      </c>
      <c r="Z40" s="10" t="s">
        <v>192</v>
      </c>
      <c r="AA40" s="232">
        <v>42499</v>
      </c>
      <c r="AB40" s="239">
        <v>12</v>
      </c>
      <c r="AC40" s="239">
        <v>21.2</v>
      </c>
      <c r="AD40" s="239">
        <v>2.76</v>
      </c>
      <c r="AE40" s="239">
        <v>18.440000000000001</v>
      </c>
    </row>
    <row r="41" spans="8:31">
      <c r="H41" s="357"/>
      <c r="I41" s="339" t="s">
        <v>125</v>
      </c>
      <c r="J41" s="350" t="s">
        <v>126</v>
      </c>
      <c r="K41" s="18"/>
      <c r="L41" s="213">
        <v>0</v>
      </c>
      <c r="M41" s="224"/>
      <c r="N41" s="342">
        <v>0</v>
      </c>
      <c r="O41" s="334">
        <v>1</v>
      </c>
      <c r="P41" s="333">
        <f t="shared" si="4"/>
        <v>6</v>
      </c>
      <c r="Q41" s="196"/>
      <c r="R41" s="228">
        <f t="shared" si="0"/>
        <v>6</v>
      </c>
      <c r="S41" s="7"/>
      <c r="T41" s="268"/>
      <c r="U41" s="269"/>
      <c r="V41" s="272"/>
      <c r="W41" s="270"/>
      <c r="Y41" s="285" t="s">
        <v>191</v>
      </c>
      <c r="Z41" s="286" t="s">
        <v>190</v>
      </c>
      <c r="AA41" s="287">
        <v>42046</v>
      </c>
      <c r="AB41" s="282">
        <v>696</v>
      </c>
      <c r="AC41" s="282">
        <v>827.2</v>
      </c>
      <c r="AD41" s="282">
        <v>107.21</v>
      </c>
      <c r="AE41" s="288">
        <v>719.99</v>
      </c>
    </row>
    <row r="42" spans="8:31">
      <c r="H42" s="355" t="s">
        <v>84</v>
      </c>
      <c r="I42" s="198" t="s">
        <v>158</v>
      </c>
      <c r="J42" s="354" t="s">
        <v>159</v>
      </c>
      <c r="K42" s="200"/>
      <c r="L42" s="218">
        <v>0</v>
      </c>
      <c r="M42" s="344"/>
      <c r="N42" s="216">
        <f>+M42*3</f>
        <v>0</v>
      </c>
      <c r="O42" s="204"/>
      <c r="P42" s="203">
        <f t="shared" si="4"/>
        <v>0</v>
      </c>
      <c r="Q42" s="205"/>
      <c r="R42" s="203">
        <f t="shared" si="0"/>
        <v>0</v>
      </c>
      <c r="S42" s="7"/>
      <c r="T42" s="268"/>
      <c r="U42" s="269"/>
      <c r="V42" s="272"/>
      <c r="W42" s="270"/>
      <c r="Y42" s="240" t="s">
        <v>189</v>
      </c>
      <c r="Z42" s="10" t="s">
        <v>188</v>
      </c>
      <c r="AA42" s="232">
        <v>43347</v>
      </c>
      <c r="AB42" s="239">
        <v>432</v>
      </c>
      <c r="AC42" s="239">
        <v>660</v>
      </c>
      <c r="AD42" s="239">
        <v>85.8</v>
      </c>
      <c r="AE42" s="239">
        <v>574.20000000000005</v>
      </c>
    </row>
    <row r="43" spans="8:31">
      <c r="I43" s="41"/>
      <c r="J43" s="42"/>
      <c r="K43" s="65">
        <f t="shared" ref="K43:Q43" si="5">SUM(K5:K42)</f>
        <v>0</v>
      </c>
      <c r="L43" s="66">
        <f t="shared" si="5"/>
        <v>0</v>
      </c>
      <c r="M43" s="345">
        <f t="shared" si="5"/>
        <v>0</v>
      </c>
      <c r="N43" s="346">
        <f t="shared" si="5"/>
        <v>0</v>
      </c>
      <c r="O43" s="335">
        <f t="shared" si="5"/>
        <v>361</v>
      </c>
      <c r="P43" s="336">
        <f t="shared" si="5"/>
        <v>2040</v>
      </c>
      <c r="Q43" s="58">
        <f t="shared" si="5"/>
        <v>0</v>
      </c>
      <c r="R43" s="57">
        <f t="shared" si="0"/>
        <v>2040</v>
      </c>
      <c r="S43" s="7"/>
      <c r="T43" s="274"/>
      <c r="U43" s="269"/>
      <c r="V43" s="270"/>
      <c r="W43" s="278"/>
      <c r="Y43" s="240" t="s">
        <v>187</v>
      </c>
      <c r="Z43" s="10" t="s">
        <v>186</v>
      </c>
      <c r="AA43" s="232">
        <v>42837</v>
      </c>
      <c r="AB43" s="239">
        <v>504</v>
      </c>
      <c r="AC43" s="239">
        <v>744</v>
      </c>
      <c r="AD43" s="239">
        <v>91.22</v>
      </c>
      <c r="AE43" s="239">
        <v>652.78</v>
      </c>
    </row>
    <row r="44" spans="8:31">
      <c r="L44" s="167" t="s">
        <v>105</v>
      </c>
      <c r="M44" s="168">
        <v>245</v>
      </c>
      <c r="N44" s="167" t="s">
        <v>105</v>
      </c>
      <c r="O44" s="168">
        <f>+O45-O43</f>
        <v>-361</v>
      </c>
      <c r="P44" s="168">
        <f>+P45-P43</f>
        <v>252</v>
      </c>
      <c r="Q44" s="168"/>
      <c r="R44" s="175">
        <f>+R16+R20+R21+R25+R29+R30+R42</f>
        <v>450</v>
      </c>
      <c r="S44" s="7"/>
      <c r="T44" s="268"/>
      <c r="U44" s="276"/>
      <c r="V44" s="277"/>
      <c r="W44" s="279"/>
      <c r="Y44" s="240" t="s">
        <v>185</v>
      </c>
      <c r="Z44" s="10" t="s">
        <v>184</v>
      </c>
      <c r="AA44" s="232">
        <v>42125</v>
      </c>
      <c r="AB44" s="239">
        <v>432</v>
      </c>
      <c r="AC44" s="239">
        <v>660</v>
      </c>
      <c r="AD44" s="239">
        <v>80.92</v>
      </c>
      <c r="AE44" s="239">
        <v>579.08000000000004</v>
      </c>
    </row>
    <row r="45" spans="8:31">
      <c r="L45" s="169"/>
      <c r="M45" s="170">
        <f>+M43-M44</f>
        <v>-245</v>
      </c>
      <c r="N45" s="171" t="s">
        <v>147</v>
      </c>
      <c r="O45" s="169"/>
      <c r="P45" s="169">
        <v>2292</v>
      </c>
      <c r="Q45" s="176" t="s">
        <v>133</v>
      </c>
      <c r="R45" s="177">
        <f>+R43-R44</f>
        <v>1590</v>
      </c>
      <c r="S45" s="7"/>
      <c r="T45" s="270"/>
      <c r="U45" s="269"/>
      <c r="V45" s="270"/>
      <c r="W45" s="270"/>
      <c r="Y45" s="285" t="s">
        <v>183</v>
      </c>
      <c r="Z45" s="286" t="s">
        <v>74</v>
      </c>
      <c r="AA45" s="287">
        <v>42499</v>
      </c>
      <c r="AB45" s="282">
        <v>576</v>
      </c>
      <c r="AC45" s="282">
        <v>827.59</v>
      </c>
      <c r="AD45" s="282">
        <v>107.59</v>
      </c>
      <c r="AE45" s="288">
        <v>720</v>
      </c>
    </row>
    <row r="46" spans="8:31">
      <c r="T46" s="270"/>
      <c r="U46" s="269"/>
      <c r="V46" s="270"/>
      <c r="W46" s="270"/>
      <c r="Y46" s="285" t="s">
        <v>182</v>
      </c>
      <c r="Z46" s="286" t="s">
        <v>51</v>
      </c>
      <c r="AA46" s="287">
        <v>42375</v>
      </c>
      <c r="AB46" s="282">
        <v>624</v>
      </c>
      <c r="AC46" s="282">
        <v>827.6</v>
      </c>
      <c r="AD46" s="282">
        <v>107.59</v>
      </c>
      <c r="AE46" s="288">
        <v>720.01</v>
      </c>
    </row>
    <row r="47" spans="8:31">
      <c r="Q47">
        <f>186/31</f>
        <v>6</v>
      </c>
      <c r="R47">
        <v>1440</v>
      </c>
      <c r="T47" s="270"/>
      <c r="U47" s="269"/>
      <c r="V47" s="270"/>
      <c r="W47" s="270"/>
      <c r="Y47" s="240" t="s">
        <v>181</v>
      </c>
      <c r="Z47" s="10" t="s">
        <v>180</v>
      </c>
      <c r="AA47" s="232">
        <v>42375</v>
      </c>
      <c r="AB47" s="239">
        <v>492</v>
      </c>
      <c r="AC47" s="239">
        <v>730</v>
      </c>
      <c r="AD47" s="239">
        <v>94.9</v>
      </c>
      <c r="AE47" s="239">
        <v>635.1</v>
      </c>
    </row>
    <row r="48" spans="8:31">
      <c r="P48" s="67"/>
      <c r="R48" s="6">
        <f>+R45-R47</f>
        <v>150</v>
      </c>
      <c r="T48" s="270"/>
      <c r="U48" s="269"/>
      <c r="V48" s="270"/>
      <c r="W48" s="270"/>
      <c r="Y48" s="240" t="s">
        <v>179</v>
      </c>
      <c r="Z48" s="10" t="s">
        <v>49</v>
      </c>
      <c r="AA48" s="232">
        <v>42897</v>
      </c>
      <c r="AB48" s="239">
        <v>12</v>
      </c>
      <c r="AC48" s="239">
        <v>21.2</v>
      </c>
      <c r="AD48" s="239">
        <v>2.64</v>
      </c>
      <c r="AE48" s="239">
        <v>18.559999999999999</v>
      </c>
    </row>
    <row r="49" spans="16:35">
      <c r="P49" s="67"/>
      <c r="T49" s="270"/>
      <c r="U49" s="269"/>
      <c r="V49" s="270"/>
      <c r="W49" s="270"/>
      <c r="Y49" s="240" t="s">
        <v>178</v>
      </c>
      <c r="Z49" s="10" t="s">
        <v>177</v>
      </c>
      <c r="AA49" s="232" t="s">
        <v>176</v>
      </c>
      <c r="AB49" s="239">
        <v>444</v>
      </c>
      <c r="AC49" s="239">
        <v>674</v>
      </c>
      <c r="AD49" s="239">
        <v>87.62</v>
      </c>
      <c r="AE49" s="239">
        <v>586.38</v>
      </c>
    </row>
    <row r="50" spans="16:35">
      <c r="T50" s="270"/>
      <c r="U50" s="269"/>
      <c r="V50" s="270"/>
      <c r="W50" s="270"/>
      <c r="Y50" s="240" t="s">
        <v>175</v>
      </c>
      <c r="Z50" s="10" t="s">
        <v>57</v>
      </c>
      <c r="AA50" s="232">
        <v>42889</v>
      </c>
      <c r="AB50" s="239">
        <v>528</v>
      </c>
      <c r="AC50" s="239">
        <v>772</v>
      </c>
      <c r="AD50" s="239">
        <v>90.63</v>
      </c>
      <c r="AE50" s="239">
        <v>681.37</v>
      </c>
    </row>
    <row r="51" spans="16:35">
      <c r="T51" s="270"/>
      <c r="U51" s="269"/>
      <c r="V51" s="270"/>
      <c r="W51" s="270"/>
      <c r="Y51" s="130"/>
      <c r="Z51" s="237"/>
      <c r="AA51" s="236"/>
      <c r="AB51" s="235">
        <f>SUM(AB35:AB50)</f>
        <v>6358.28</v>
      </c>
      <c r="AC51" s="235">
        <f>SUM(AC35:AC50)</f>
        <v>9136.7799999999988</v>
      </c>
      <c r="AD51" s="235">
        <f>SUM(AD35:AD50)</f>
        <v>1167.2400000000002</v>
      </c>
      <c r="AE51" s="235">
        <f>SUM(AE35:AE50)</f>
        <v>7969.5400000000009</v>
      </c>
    </row>
    <row r="52" spans="16:35">
      <c r="T52" s="270"/>
      <c r="U52" s="269"/>
      <c r="V52" s="270"/>
      <c r="W52" s="270"/>
    </row>
    <row r="53" spans="16:35">
      <c r="Y53" s="291" t="s">
        <v>230</v>
      </c>
      <c r="Z53" s="292"/>
      <c r="AA53" s="292"/>
      <c r="AB53" s="292"/>
      <c r="AC53" s="293" t="s">
        <v>229</v>
      </c>
      <c r="AD53" s="294" t="s">
        <v>213</v>
      </c>
      <c r="AE53" s="295"/>
      <c r="AF53" s="248"/>
      <c r="AG53" s="249"/>
      <c r="AH53" s="249"/>
      <c r="AI53" s="254"/>
    </row>
    <row r="54" spans="16:35">
      <c r="Y54" s="296" t="s">
        <v>228</v>
      </c>
      <c r="Z54" s="297" t="s">
        <v>227</v>
      </c>
      <c r="AA54" s="298"/>
      <c r="AB54" s="298"/>
      <c r="AC54" s="299" t="s">
        <v>226</v>
      </c>
      <c r="AD54" s="260" t="s">
        <v>213</v>
      </c>
      <c r="AE54" s="300"/>
      <c r="AF54" s="260"/>
      <c r="AG54" s="261"/>
      <c r="AH54" s="261"/>
      <c r="AI54" s="254"/>
    </row>
    <row r="55" spans="16:35">
      <c r="Y55" s="296" t="s">
        <v>225</v>
      </c>
      <c r="Z55" s="301" t="s">
        <v>224</v>
      </c>
      <c r="AA55" s="299" t="s">
        <v>223</v>
      </c>
      <c r="AB55" s="302">
        <v>43256</v>
      </c>
      <c r="AC55" s="303" t="s">
        <v>222</v>
      </c>
      <c r="AD55" s="304">
        <v>2018</v>
      </c>
      <c r="AE55" s="305"/>
      <c r="AF55" s="256"/>
      <c r="AG55" s="10"/>
      <c r="AH55" s="10"/>
      <c r="AI55" s="10"/>
    </row>
    <row r="56" spans="16:35">
      <c r="Y56" s="306" t="s">
        <v>221</v>
      </c>
      <c r="Z56" s="301" t="s">
        <v>220</v>
      </c>
      <c r="AA56" s="299" t="s">
        <v>219</v>
      </c>
      <c r="AB56" s="253" t="s">
        <v>218</v>
      </c>
      <c r="AC56" s="299" t="s">
        <v>217</v>
      </c>
      <c r="AD56" s="302">
        <v>43348</v>
      </c>
      <c r="AE56" s="307"/>
      <c r="AF56" s="248"/>
      <c r="AG56" s="249"/>
      <c r="AH56" s="249"/>
      <c r="AI56" s="254"/>
    </row>
    <row r="57" spans="16:35">
      <c r="Y57" s="306" t="s">
        <v>216</v>
      </c>
      <c r="Z57" s="301" t="s">
        <v>215</v>
      </c>
      <c r="AA57" s="299" t="s">
        <v>214</v>
      </c>
      <c r="AB57" s="248" t="s">
        <v>213</v>
      </c>
      <c r="AC57" s="299" t="s">
        <v>212</v>
      </c>
      <c r="AD57" s="248" t="s">
        <v>211</v>
      </c>
      <c r="AE57" s="307"/>
      <c r="AF57" s="248"/>
      <c r="AG57" s="249"/>
      <c r="AH57" s="249"/>
      <c r="AI57" s="250"/>
    </row>
    <row r="58" spans="16:35" ht="17.25" thickBot="1">
      <c r="Y58" s="308" t="s">
        <v>210</v>
      </c>
      <c r="Z58" s="247" t="s">
        <v>209</v>
      </c>
      <c r="AA58" s="246" t="s">
        <v>208</v>
      </c>
      <c r="AB58" s="246" t="s">
        <v>207</v>
      </c>
      <c r="AC58" s="246" t="s">
        <v>206</v>
      </c>
      <c r="AD58" s="246" t="s">
        <v>205</v>
      </c>
      <c r="AE58" s="309" t="s">
        <v>204</v>
      </c>
      <c r="AF58" s="290"/>
      <c r="AG58" s="246" t="s">
        <v>237</v>
      </c>
      <c r="AH58" s="246" t="s">
        <v>236</v>
      </c>
      <c r="AI58" s="246" t="s">
        <v>235</v>
      </c>
    </row>
    <row r="59" spans="16:35">
      <c r="Y59" s="310" t="s">
        <v>202</v>
      </c>
      <c r="Z59" s="256" t="s">
        <v>201</v>
      </c>
      <c r="AA59" s="311">
        <v>43102</v>
      </c>
      <c r="AB59" s="238">
        <v>444</v>
      </c>
      <c r="AC59" s="238">
        <v>748</v>
      </c>
      <c r="AD59" s="238">
        <v>97.24</v>
      </c>
      <c r="AE59" s="312">
        <v>650.76</v>
      </c>
      <c r="AF59" s="238"/>
      <c r="AG59" s="239">
        <v>74</v>
      </c>
      <c r="AH59" s="239">
        <v>150</v>
      </c>
      <c r="AI59" s="239">
        <v>5</v>
      </c>
    </row>
    <row r="60" spans="16:35">
      <c r="Y60" s="310" t="s">
        <v>200</v>
      </c>
      <c r="Z60" s="256" t="s">
        <v>199</v>
      </c>
      <c r="AA60" s="311">
        <v>42837</v>
      </c>
      <c r="AB60" s="238">
        <v>204</v>
      </c>
      <c r="AC60" s="238">
        <v>378.8</v>
      </c>
      <c r="AD60" s="238">
        <v>49.24</v>
      </c>
      <c r="AE60" s="312">
        <v>329.56</v>
      </c>
      <c r="AF60" s="238"/>
      <c r="AG60" s="239">
        <v>34</v>
      </c>
      <c r="AH60" s="239">
        <v>102</v>
      </c>
      <c r="AI60" s="239">
        <v>4</v>
      </c>
    </row>
    <row r="61" spans="16:35">
      <c r="Y61" s="310" t="s">
        <v>198</v>
      </c>
      <c r="Z61" s="256" t="s">
        <v>143</v>
      </c>
      <c r="AA61" s="311">
        <v>42837</v>
      </c>
      <c r="AB61" s="238">
        <v>540</v>
      </c>
      <c r="AC61" s="238">
        <v>876</v>
      </c>
      <c r="AD61" s="238">
        <v>113.88</v>
      </c>
      <c r="AE61" s="312">
        <v>762.12</v>
      </c>
      <c r="AF61" s="238"/>
      <c r="AG61" s="239">
        <v>90</v>
      </c>
      <c r="AH61" s="239">
        <v>150</v>
      </c>
      <c r="AI61" s="239">
        <v>5</v>
      </c>
    </row>
    <row r="62" spans="16:35">
      <c r="Y62" s="310" t="s">
        <v>197</v>
      </c>
      <c r="Z62" s="256" t="s">
        <v>196</v>
      </c>
      <c r="AA62" s="311">
        <v>42046</v>
      </c>
      <c r="AB62" s="238">
        <v>274.27999999999997</v>
      </c>
      <c r="AC62" s="238">
        <v>369.3</v>
      </c>
      <c r="AD62" s="238">
        <v>48.01</v>
      </c>
      <c r="AE62" s="312">
        <v>321.29000000000002</v>
      </c>
      <c r="AF62" s="238"/>
      <c r="AG62" s="239">
        <v>45.71</v>
      </c>
      <c r="AH62" s="239">
        <v>0</v>
      </c>
      <c r="AI62" s="239">
        <v>3</v>
      </c>
    </row>
    <row r="63" spans="16:35">
      <c r="Y63" s="310" t="s">
        <v>195</v>
      </c>
      <c r="Z63" s="256" t="s">
        <v>194</v>
      </c>
      <c r="AA63" s="311">
        <v>42801</v>
      </c>
      <c r="AB63" s="238">
        <v>144</v>
      </c>
      <c r="AC63" s="238">
        <v>267.60000000000002</v>
      </c>
      <c r="AD63" s="238">
        <v>34.79</v>
      </c>
      <c r="AE63" s="312">
        <v>232.81</v>
      </c>
      <c r="AF63" s="238"/>
      <c r="AG63" s="239">
        <v>24</v>
      </c>
      <c r="AH63" s="239">
        <v>72</v>
      </c>
      <c r="AI63" s="239">
        <v>3</v>
      </c>
    </row>
    <row r="64" spans="16:35">
      <c r="Y64" s="310" t="s">
        <v>193</v>
      </c>
      <c r="Z64" s="256" t="s">
        <v>192</v>
      </c>
      <c r="AA64" s="311">
        <v>42499</v>
      </c>
      <c r="AB64" s="238">
        <v>12</v>
      </c>
      <c r="AC64" s="238">
        <v>23.2</v>
      </c>
      <c r="AD64" s="238">
        <v>3.02</v>
      </c>
      <c r="AE64" s="312">
        <v>20.18</v>
      </c>
      <c r="AF64" s="238"/>
      <c r="AG64" s="239">
        <v>2</v>
      </c>
      <c r="AH64" s="239">
        <v>6</v>
      </c>
      <c r="AI64" s="239">
        <v>1</v>
      </c>
    </row>
    <row r="65" spans="25:35">
      <c r="Y65" s="310" t="s">
        <v>191</v>
      </c>
      <c r="Z65" s="256" t="s">
        <v>190</v>
      </c>
      <c r="AA65" s="311">
        <v>42046</v>
      </c>
      <c r="AB65" s="238">
        <v>696</v>
      </c>
      <c r="AC65" s="238">
        <v>943.2</v>
      </c>
      <c r="AD65" s="238">
        <v>122.24</v>
      </c>
      <c r="AE65" s="312">
        <v>820.96</v>
      </c>
      <c r="AF65" s="238"/>
      <c r="AG65" s="239">
        <v>116</v>
      </c>
      <c r="AH65" s="239">
        <v>9.1999999999999993</v>
      </c>
      <c r="AI65" s="239">
        <v>5</v>
      </c>
    </row>
    <row r="66" spans="25:35">
      <c r="Y66" s="310" t="s">
        <v>189</v>
      </c>
      <c r="Z66" s="256" t="s">
        <v>188</v>
      </c>
      <c r="AA66" s="311">
        <v>43347</v>
      </c>
      <c r="AB66" s="238">
        <v>432</v>
      </c>
      <c r="AC66" s="238">
        <v>732</v>
      </c>
      <c r="AD66" s="238">
        <v>95.16</v>
      </c>
      <c r="AE66" s="312">
        <v>636.84</v>
      </c>
      <c r="AF66" s="238"/>
      <c r="AG66" s="239">
        <v>72</v>
      </c>
      <c r="AH66" s="239">
        <v>150</v>
      </c>
      <c r="AI66" s="239">
        <v>5</v>
      </c>
    </row>
    <row r="67" spans="25:35">
      <c r="Y67" s="310" t="s">
        <v>187</v>
      </c>
      <c r="Z67" s="256" t="s">
        <v>186</v>
      </c>
      <c r="AA67" s="311">
        <v>42837</v>
      </c>
      <c r="AB67" s="238">
        <v>504</v>
      </c>
      <c r="AC67" s="238">
        <v>828</v>
      </c>
      <c r="AD67" s="238">
        <v>101.51</v>
      </c>
      <c r="AE67" s="312">
        <v>726.49</v>
      </c>
      <c r="AF67" s="238"/>
      <c r="AG67" s="239">
        <v>84</v>
      </c>
      <c r="AH67" s="239">
        <v>150</v>
      </c>
      <c r="AI67" s="239">
        <v>5</v>
      </c>
    </row>
    <row r="68" spans="25:35">
      <c r="Y68" s="310" t="s">
        <v>185</v>
      </c>
      <c r="Z68" s="256" t="s">
        <v>184</v>
      </c>
      <c r="AA68" s="311">
        <v>42125</v>
      </c>
      <c r="AB68" s="238">
        <v>432</v>
      </c>
      <c r="AC68" s="238">
        <v>732</v>
      </c>
      <c r="AD68" s="238">
        <v>89.75</v>
      </c>
      <c r="AE68" s="312">
        <v>642.25</v>
      </c>
      <c r="AF68" s="238"/>
      <c r="AG68" s="239">
        <v>72</v>
      </c>
      <c r="AH68" s="239">
        <v>150</v>
      </c>
      <c r="AI68" s="239">
        <v>5</v>
      </c>
    </row>
    <row r="69" spans="25:35">
      <c r="Y69" s="310" t="s">
        <v>183</v>
      </c>
      <c r="Z69" s="256" t="s">
        <v>74</v>
      </c>
      <c r="AA69" s="311">
        <v>42499</v>
      </c>
      <c r="AB69" s="238">
        <v>576</v>
      </c>
      <c r="AC69" s="238">
        <v>923.59</v>
      </c>
      <c r="AD69" s="238">
        <v>120.07</v>
      </c>
      <c r="AE69" s="312">
        <v>803.52</v>
      </c>
      <c r="AF69" s="238"/>
      <c r="AG69" s="239">
        <v>96</v>
      </c>
      <c r="AH69" s="239">
        <v>149.59</v>
      </c>
      <c r="AI69" s="239">
        <v>5</v>
      </c>
    </row>
    <row r="70" spans="25:35">
      <c r="Y70" s="310" t="s">
        <v>182</v>
      </c>
      <c r="Z70" s="256" t="s">
        <v>51</v>
      </c>
      <c r="AA70" s="311">
        <v>42375</v>
      </c>
      <c r="AB70" s="238">
        <v>624</v>
      </c>
      <c r="AC70" s="238">
        <v>931.6</v>
      </c>
      <c r="AD70" s="238">
        <v>121.11</v>
      </c>
      <c r="AE70" s="312">
        <v>810.49</v>
      </c>
      <c r="AF70" s="238"/>
      <c r="AG70" s="239">
        <v>104</v>
      </c>
      <c r="AH70" s="239">
        <v>93.6</v>
      </c>
      <c r="AI70" s="239">
        <v>5</v>
      </c>
    </row>
    <row r="71" spans="25:35">
      <c r="Y71" s="310" t="s">
        <v>181</v>
      </c>
      <c r="Z71" s="256" t="s">
        <v>180</v>
      </c>
      <c r="AA71" s="311">
        <v>42375</v>
      </c>
      <c r="AB71" s="238">
        <v>492</v>
      </c>
      <c r="AC71" s="238">
        <v>812</v>
      </c>
      <c r="AD71" s="238">
        <v>105.56</v>
      </c>
      <c r="AE71" s="312">
        <v>706.44</v>
      </c>
      <c r="AF71" s="238"/>
      <c r="AG71" s="239">
        <v>82</v>
      </c>
      <c r="AH71" s="239">
        <v>150</v>
      </c>
      <c r="AI71" s="239">
        <v>5</v>
      </c>
    </row>
    <row r="72" spans="25:35">
      <c r="Y72" s="310" t="s">
        <v>179</v>
      </c>
      <c r="Z72" s="256" t="s">
        <v>49</v>
      </c>
      <c r="AA72" s="311">
        <v>42897</v>
      </c>
      <c r="AB72" s="238">
        <v>12</v>
      </c>
      <c r="AC72" s="238">
        <v>23.2</v>
      </c>
      <c r="AD72" s="238">
        <v>2.89</v>
      </c>
      <c r="AE72" s="312">
        <v>20.309999999999999</v>
      </c>
      <c r="AF72" s="238"/>
      <c r="AG72" s="239">
        <v>2</v>
      </c>
      <c r="AH72" s="239">
        <v>6</v>
      </c>
      <c r="AI72" s="239">
        <v>1</v>
      </c>
    </row>
    <row r="73" spans="25:35">
      <c r="Y73" s="310" t="s">
        <v>178</v>
      </c>
      <c r="Z73" s="256" t="s">
        <v>177</v>
      </c>
      <c r="AA73" s="311" t="s">
        <v>176</v>
      </c>
      <c r="AB73" s="238">
        <v>444</v>
      </c>
      <c r="AC73" s="238">
        <v>748</v>
      </c>
      <c r="AD73" s="238">
        <v>97.24</v>
      </c>
      <c r="AE73" s="312">
        <v>650.76</v>
      </c>
      <c r="AF73" s="238"/>
      <c r="AG73" s="239">
        <v>74</v>
      </c>
      <c r="AH73" s="239">
        <v>150</v>
      </c>
      <c r="AI73" s="239">
        <v>5</v>
      </c>
    </row>
    <row r="74" spans="25:35">
      <c r="Y74" s="310" t="s">
        <v>175</v>
      </c>
      <c r="Z74" s="256" t="s">
        <v>57</v>
      </c>
      <c r="AA74" s="311">
        <v>42889</v>
      </c>
      <c r="AB74" s="238">
        <v>528</v>
      </c>
      <c r="AC74" s="238">
        <v>860</v>
      </c>
      <c r="AD74" s="238">
        <v>100.97</v>
      </c>
      <c r="AE74" s="312">
        <v>759.03</v>
      </c>
      <c r="AF74" s="238"/>
      <c r="AG74" s="239">
        <v>88</v>
      </c>
      <c r="AH74" s="239">
        <v>150</v>
      </c>
      <c r="AI74" s="239">
        <v>5</v>
      </c>
    </row>
    <row r="75" spans="25:35">
      <c r="Y75" s="313"/>
      <c r="Z75" s="314"/>
      <c r="AA75" s="315"/>
      <c r="AB75" s="316">
        <f>SUM(AB59:AB74)</f>
        <v>6358.28</v>
      </c>
      <c r="AC75" s="316">
        <f>SUM(AC59:AC74)</f>
        <v>10196.490000000002</v>
      </c>
      <c r="AD75" s="316">
        <f>SUM(AD59:AD74)</f>
        <v>1302.6800000000003</v>
      </c>
      <c r="AE75" s="317">
        <f>SUM(AE59:AE74)</f>
        <v>8893.8100000000013</v>
      </c>
      <c r="AF75" s="234"/>
      <c r="AG75" s="235">
        <f>SUM(AG59:AG74)</f>
        <v>1059.71</v>
      </c>
      <c r="AH75" s="235">
        <f>SUM(AH59:AH74)</f>
        <v>1638.3899999999999</v>
      </c>
      <c r="AI75" s="235">
        <f>SUM(AI59:AI74)</f>
        <v>67</v>
      </c>
    </row>
  </sheetData>
  <mergeCells count="4">
    <mergeCell ref="I2:R2"/>
    <mergeCell ref="K3:N3"/>
    <mergeCell ref="O3:P3"/>
    <mergeCell ref="S3:U3"/>
  </mergeCells>
  <conditionalFormatting sqref="R43 R5:R6">
    <cfRule type="cellIs" dxfId="11" priority="1" operator="lessThanOrEqual">
      <formula>0</formula>
    </cfRule>
  </conditionalFormatting>
  <printOptions horizontalCentered="1"/>
  <pageMargins left="0" right="0" top="0.42" bottom="0" header="0.31496062992125984" footer="0.31496062992125984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I75"/>
  <sheetViews>
    <sheetView zoomScale="85" zoomScaleNormal="85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P10" sqref="P10"/>
    </sheetView>
  </sheetViews>
  <sheetFormatPr baseColWidth="10" defaultRowHeight="15"/>
  <cols>
    <col min="1" max="1" width="5.7109375" customWidth="1"/>
    <col min="2" max="2" width="0" hidden="1" customWidth="1"/>
    <col min="3" max="3" width="20.7109375" hidden="1" customWidth="1"/>
    <col min="4" max="4" width="20.7109375" style="1" hidden="1" customWidth="1"/>
    <col min="5" max="5" width="13.28515625" hidden="1" customWidth="1"/>
    <col min="6" max="6" width="10.42578125" style="2" hidden="1" customWidth="1"/>
    <col min="7" max="7" width="25.28515625" hidden="1" customWidth="1"/>
    <col min="8" max="8" width="12.5703125" bestFit="1" customWidth="1"/>
    <col min="9" max="9" width="8.7109375" customWidth="1"/>
    <col min="10" max="10" width="24.140625" customWidth="1"/>
    <col min="11" max="11" width="8.7109375" customWidth="1"/>
    <col min="12" max="12" width="10.7109375" bestFit="1" customWidth="1"/>
    <col min="13" max="13" width="8.7109375" customWidth="1"/>
    <col min="14" max="14" width="10.28515625" bestFit="1" customWidth="1"/>
    <col min="15" max="15" width="8.7109375" customWidth="1"/>
    <col min="16" max="16" width="11.42578125" customWidth="1"/>
    <col min="17" max="17" width="11.7109375" customWidth="1"/>
    <col min="18" max="18" width="12.5703125" bestFit="1" customWidth="1"/>
    <col min="19" max="19" width="2.7109375" customWidth="1"/>
    <col min="20" max="20" width="13.28515625" customWidth="1"/>
    <col min="21" max="21" width="11.5703125" style="181" customWidth="1"/>
    <col min="22" max="22" width="10.7109375" customWidth="1"/>
    <col min="23" max="23" width="20.7109375" customWidth="1"/>
    <col min="24" max="24" width="2" customWidth="1"/>
    <col min="25" max="25" width="11.85546875" customWidth="1"/>
    <col min="26" max="26" width="20" customWidth="1"/>
    <col min="27" max="27" width="11.7109375" customWidth="1"/>
    <col min="28" max="28" width="11" customWidth="1"/>
    <col min="29" max="29" width="10.7109375" customWidth="1"/>
    <col min="30" max="30" width="10.42578125" customWidth="1"/>
    <col min="31" max="31" width="12.28515625" customWidth="1"/>
    <col min="32" max="32" width="9.42578125" customWidth="1"/>
    <col min="33" max="33" width="9.85546875" customWidth="1"/>
    <col min="34" max="34" width="9.5703125" customWidth="1"/>
  </cols>
  <sheetData>
    <row r="1" spans="8:32" ht="5.0999999999999996" customHeight="1"/>
    <row r="2" spans="8:32">
      <c r="I2" s="418" t="s">
        <v>238</v>
      </c>
      <c r="J2" s="418"/>
      <c r="K2" s="418"/>
      <c r="L2" s="418"/>
      <c r="M2" s="418"/>
      <c r="N2" s="418"/>
      <c r="O2" s="418"/>
      <c r="P2" s="418"/>
      <c r="Q2" s="418"/>
      <c r="R2" s="418"/>
      <c r="T2" s="43"/>
    </row>
    <row r="3" spans="8:32">
      <c r="I3" s="11"/>
      <c r="J3" s="11"/>
      <c r="K3" s="419" t="s">
        <v>58</v>
      </c>
      <c r="L3" s="420"/>
      <c r="M3" s="420"/>
      <c r="N3" s="421"/>
      <c r="O3" s="420" t="s">
        <v>59</v>
      </c>
      <c r="P3" s="421"/>
      <c r="Q3" s="11"/>
      <c r="R3" s="11"/>
      <c r="S3" s="422">
        <f ca="1">+TODAY()</f>
        <v>43292</v>
      </c>
      <c r="T3" s="423"/>
      <c r="U3" s="423"/>
    </row>
    <row r="4" spans="8:32" ht="40.5">
      <c r="I4" s="12" t="s">
        <v>11</v>
      </c>
      <c r="J4" s="12" t="s">
        <v>3</v>
      </c>
      <c r="K4" s="64" t="s">
        <v>23</v>
      </c>
      <c r="L4" s="64" t="s">
        <v>77</v>
      </c>
      <c r="M4" s="321" t="s">
        <v>23</v>
      </c>
      <c r="N4" s="322" t="s">
        <v>241</v>
      </c>
      <c r="O4" s="329" t="s">
        <v>23</v>
      </c>
      <c r="P4" s="329" t="s">
        <v>240</v>
      </c>
      <c r="Q4" s="13" t="s">
        <v>239</v>
      </c>
      <c r="R4" s="14" t="s">
        <v>60</v>
      </c>
      <c r="S4" s="7"/>
    </row>
    <row r="5" spans="8:32">
      <c r="I5" s="16" t="s">
        <v>61</v>
      </c>
      <c r="J5" s="17" t="s">
        <v>62</v>
      </c>
      <c r="K5" s="18"/>
      <c r="L5" s="184">
        <f>+K5*3</f>
        <v>0</v>
      </c>
      <c r="M5" s="158">
        <v>3</v>
      </c>
      <c r="N5" s="323">
        <v>0</v>
      </c>
      <c r="O5" s="330"/>
      <c r="P5" s="331"/>
      <c r="Q5" s="210"/>
      <c r="R5" s="211">
        <f>+L5+N5+P5+Q5</f>
        <v>0</v>
      </c>
      <c r="S5" s="7"/>
      <c r="T5" s="137">
        <v>968</v>
      </c>
      <c r="U5" s="182">
        <v>125.45</v>
      </c>
      <c r="V5" s="139">
        <v>842.55</v>
      </c>
      <c r="W5" s="280" t="s">
        <v>231</v>
      </c>
      <c r="Y5" s="289" t="s">
        <v>234</v>
      </c>
      <c r="Z5" s="169"/>
      <c r="AA5" s="169"/>
      <c r="AB5" s="169"/>
      <c r="AC5" s="169" t="s">
        <v>229</v>
      </c>
      <c r="AD5" s="169" t="s">
        <v>213</v>
      </c>
      <c r="AE5" s="169"/>
      <c r="AF5" s="169"/>
    </row>
    <row r="6" spans="8:32">
      <c r="I6" s="318" t="s">
        <v>4</v>
      </c>
      <c r="J6" s="28" t="s">
        <v>12</v>
      </c>
      <c r="K6" s="18"/>
      <c r="L6" s="185">
        <f>+K6*3</f>
        <v>0</v>
      </c>
      <c r="M6" s="324"/>
      <c r="N6" s="323">
        <v>0</v>
      </c>
      <c r="O6" s="330"/>
      <c r="P6" s="331"/>
      <c r="Q6" s="196"/>
      <c r="R6" s="209">
        <f t="shared" ref="R6:R43" si="0">+L6+N6+P6+Q6</f>
        <v>0</v>
      </c>
      <c r="S6" s="7"/>
      <c r="T6" s="140">
        <f>+U6+V6</f>
        <v>827.2031333452021</v>
      </c>
      <c r="U6" s="284">
        <f>+U5*V6/V5</f>
        <v>107.20313334520208</v>
      </c>
      <c r="V6" s="141">
        <v>720</v>
      </c>
      <c r="W6" s="161"/>
      <c r="Y6" s="169" t="s">
        <v>228</v>
      </c>
      <c r="Z6" s="169" t="s">
        <v>227</v>
      </c>
      <c r="AA6" s="169"/>
      <c r="AB6" s="169"/>
      <c r="AC6" s="169" t="s">
        <v>226</v>
      </c>
      <c r="AD6" s="169" t="s">
        <v>213</v>
      </c>
      <c r="AE6" s="169"/>
      <c r="AF6" s="169"/>
    </row>
    <row r="7" spans="8:32">
      <c r="I7" s="113" t="s">
        <v>1</v>
      </c>
      <c r="J7" s="114" t="s">
        <v>56</v>
      </c>
      <c r="K7" s="120"/>
      <c r="L7" s="215">
        <f>+K7*3</f>
        <v>0</v>
      </c>
      <c r="M7" s="158">
        <v>2</v>
      </c>
      <c r="N7" s="61">
        <v>0</v>
      </c>
      <c r="O7" s="332"/>
      <c r="P7" s="333">
        <f>IF(O7&gt;25,150,(O7)*6)</f>
        <v>0</v>
      </c>
      <c r="Q7" s="196"/>
      <c r="R7" s="23">
        <f t="shared" si="0"/>
        <v>0</v>
      </c>
      <c r="S7" s="7"/>
      <c r="T7" s="142">
        <f>+T5-T6</f>
        <v>140.7968666547979</v>
      </c>
      <c r="U7" s="183"/>
      <c r="V7" s="143"/>
      <c r="W7" s="4" t="s">
        <v>145</v>
      </c>
      <c r="Y7" s="169" t="s">
        <v>225</v>
      </c>
      <c r="Z7" s="169" t="s">
        <v>224</v>
      </c>
      <c r="AA7" s="169" t="s">
        <v>223</v>
      </c>
      <c r="AB7" s="169">
        <v>43256</v>
      </c>
      <c r="AC7" s="169" t="s">
        <v>222</v>
      </c>
      <c r="AD7" s="169">
        <v>2018</v>
      </c>
      <c r="AE7" s="169"/>
      <c r="AF7" s="169"/>
    </row>
    <row r="8" spans="8:32">
      <c r="I8" s="113" t="s">
        <v>2</v>
      </c>
      <c r="J8" s="114" t="s">
        <v>47</v>
      </c>
      <c r="K8" s="115"/>
      <c r="L8" s="215"/>
      <c r="M8" s="158"/>
      <c r="N8" s="61">
        <f>+M8*3</f>
        <v>0</v>
      </c>
      <c r="O8" s="332">
        <v>8</v>
      </c>
      <c r="P8" s="333">
        <f>IF(O8&gt;25,150,(O8)*6)</f>
        <v>48</v>
      </c>
      <c r="Q8" s="195"/>
      <c r="R8" s="228">
        <f t="shared" si="0"/>
        <v>48</v>
      </c>
      <c r="S8" s="7"/>
      <c r="T8" s="144">
        <v>150</v>
      </c>
      <c r="U8" s="163">
        <f>+T8-T7</f>
        <v>9.2031333452021045</v>
      </c>
      <c r="V8" s="164" t="s">
        <v>232</v>
      </c>
      <c r="W8" s="9">
        <f>150-U8</f>
        <v>140.7968666547979</v>
      </c>
      <c r="Y8" s="169" t="s">
        <v>221</v>
      </c>
      <c r="Z8" s="169" t="s">
        <v>220</v>
      </c>
      <c r="AA8" s="169" t="s">
        <v>219</v>
      </c>
      <c r="AB8" s="169" t="s">
        <v>218</v>
      </c>
      <c r="AC8" s="169" t="s">
        <v>217</v>
      </c>
      <c r="AD8" s="169">
        <v>43348</v>
      </c>
      <c r="AE8" s="169"/>
      <c r="AF8" s="169"/>
    </row>
    <row r="9" spans="8:32">
      <c r="I9" s="318" t="s">
        <v>0</v>
      </c>
      <c r="J9" s="28" t="s">
        <v>7</v>
      </c>
      <c r="K9" s="18"/>
      <c r="L9" s="213">
        <f>+K9*5</f>
        <v>0</v>
      </c>
      <c r="M9" s="324">
        <v>3</v>
      </c>
      <c r="N9" s="323">
        <f>5*M9</f>
        <v>15</v>
      </c>
      <c r="O9" s="330"/>
      <c r="P9" s="331">
        <v>0</v>
      </c>
      <c r="Q9" s="196"/>
      <c r="R9" s="23">
        <f t="shared" si="0"/>
        <v>15</v>
      </c>
      <c r="S9" s="7"/>
      <c r="T9" s="26"/>
      <c r="W9" s="162"/>
      <c r="Y9" s="267" t="s">
        <v>216</v>
      </c>
      <c r="Z9" s="267" t="s">
        <v>215</v>
      </c>
      <c r="AA9" s="267" t="s">
        <v>214</v>
      </c>
      <c r="AB9" s="267" t="s">
        <v>213</v>
      </c>
      <c r="AC9" s="267" t="s">
        <v>212</v>
      </c>
      <c r="AD9" s="267" t="s">
        <v>211</v>
      </c>
      <c r="AE9" s="267"/>
      <c r="AF9" s="267"/>
    </row>
    <row r="10" spans="8:32" ht="17.25" thickBot="1">
      <c r="I10" s="318" t="s">
        <v>5</v>
      </c>
      <c r="J10" s="30" t="s">
        <v>71</v>
      </c>
      <c r="K10" s="18"/>
      <c r="L10" s="213">
        <f>+K10*3</f>
        <v>0</v>
      </c>
      <c r="M10" s="60"/>
      <c r="N10" s="61">
        <f>+M10*3</f>
        <v>0</v>
      </c>
      <c r="O10" s="334">
        <v>36</v>
      </c>
      <c r="P10" s="333">
        <f t="shared" ref="P10:P30" si="1">IF(O10&gt;25,150,(O10)*6)</f>
        <v>150</v>
      </c>
      <c r="Q10" s="196"/>
      <c r="R10" s="228">
        <f t="shared" si="0"/>
        <v>150</v>
      </c>
      <c r="S10" s="7"/>
      <c r="T10" s="137">
        <v>828</v>
      </c>
      <c r="U10" s="182">
        <v>107.64</v>
      </c>
      <c r="V10" s="139">
        <v>720.36</v>
      </c>
      <c r="W10" s="280" t="s">
        <v>74</v>
      </c>
      <c r="Y10" s="265" t="s">
        <v>210</v>
      </c>
      <c r="Z10" s="265" t="s">
        <v>209</v>
      </c>
      <c r="AA10" s="266" t="s">
        <v>208</v>
      </c>
      <c r="AB10" s="266" t="s">
        <v>207</v>
      </c>
      <c r="AC10" s="266" t="s">
        <v>206</v>
      </c>
      <c r="AD10" s="266" t="s">
        <v>205</v>
      </c>
      <c r="AE10" s="266" t="s">
        <v>204</v>
      </c>
      <c r="AF10" s="266" t="s">
        <v>203</v>
      </c>
    </row>
    <row r="11" spans="8:32">
      <c r="I11" s="318" t="s">
        <v>27</v>
      </c>
      <c r="J11" s="30" t="s">
        <v>28</v>
      </c>
      <c r="K11" s="18"/>
      <c r="L11" s="213">
        <v>0</v>
      </c>
      <c r="M11" s="60">
        <v>1</v>
      </c>
      <c r="N11" s="61">
        <v>0</v>
      </c>
      <c r="O11" s="334"/>
      <c r="P11" s="333">
        <f t="shared" si="1"/>
        <v>0</v>
      </c>
      <c r="Q11" s="195"/>
      <c r="R11" s="31">
        <f t="shared" si="0"/>
        <v>0</v>
      </c>
      <c r="S11" s="7"/>
      <c r="T11" s="140">
        <f>+U11+V11</f>
        <v>827.58620689655174</v>
      </c>
      <c r="U11" s="284">
        <f>+U10*V11/V10</f>
        <v>107.58620689655173</v>
      </c>
      <c r="V11" s="141">
        <v>720</v>
      </c>
      <c r="W11" s="162"/>
      <c r="Y11" s="240" t="s">
        <v>202</v>
      </c>
      <c r="Z11" s="10" t="s">
        <v>201</v>
      </c>
      <c r="AA11" s="232">
        <v>43102</v>
      </c>
      <c r="AB11" s="239">
        <v>444</v>
      </c>
      <c r="AC11" s="281">
        <v>674</v>
      </c>
      <c r="AD11" s="239">
        <v>87.62</v>
      </c>
      <c r="AE11" s="239">
        <v>586.38</v>
      </c>
      <c r="AF11" s="238">
        <f t="shared" ref="AF11:AF26" si="2">720-AE11</f>
        <v>133.62</v>
      </c>
    </row>
    <row r="12" spans="8:32">
      <c r="I12" s="318" t="s">
        <v>8</v>
      </c>
      <c r="J12" s="30" t="s">
        <v>29</v>
      </c>
      <c r="K12" s="35"/>
      <c r="L12" s="213"/>
      <c r="M12" s="60"/>
      <c r="N12" s="61">
        <v>0</v>
      </c>
      <c r="O12" s="334">
        <v>20</v>
      </c>
      <c r="P12" s="333">
        <f t="shared" si="1"/>
        <v>120</v>
      </c>
      <c r="Q12" s="195"/>
      <c r="R12" s="228">
        <f t="shared" si="0"/>
        <v>120</v>
      </c>
      <c r="S12" s="7"/>
      <c r="T12" s="142">
        <f>+T10-T11</f>
        <v>0.41379310344825626</v>
      </c>
      <c r="U12" s="183"/>
      <c r="V12" s="143"/>
      <c r="W12" s="4" t="s">
        <v>145</v>
      </c>
      <c r="Y12" s="240" t="s">
        <v>200</v>
      </c>
      <c r="Z12" s="10" t="s">
        <v>199</v>
      </c>
      <c r="AA12" s="232">
        <v>42837</v>
      </c>
      <c r="AB12" s="239">
        <v>204</v>
      </c>
      <c r="AC12" s="281">
        <v>344.8</v>
      </c>
      <c r="AD12" s="239">
        <v>44.82</v>
      </c>
      <c r="AE12" s="239">
        <v>299.98</v>
      </c>
      <c r="AF12" s="238">
        <f t="shared" si="2"/>
        <v>420.02</v>
      </c>
    </row>
    <row r="13" spans="8:32">
      <c r="I13" s="318" t="s">
        <v>63</v>
      </c>
      <c r="J13" s="30" t="s">
        <v>33</v>
      </c>
      <c r="K13" s="35"/>
      <c r="L13" s="213"/>
      <c r="M13" s="60"/>
      <c r="N13" s="61">
        <f>+M13*3</f>
        <v>0</v>
      </c>
      <c r="O13" s="334">
        <v>40</v>
      </c>
      <c r="P13" s="333">
        <f t="shared" si="1"/>
        <v>150</v>
      </c>
      <c r="Q13" s="195"/>
      <c r="R13" s="228">
        <f t="shared" si="0"/>
        <v>150</v>
      </c>
      <c r="S13" s="7"/>
      <c r="T13" s="144">
        <v>150</v>
      </c>
      <c r="U13" s="163">
        <f>+T13-T12</f>
        <v>149.58620689655174</v>
      </c>
      <c r="V13" s="164" t="s">
        <v>232</v>
      </c>
      <c r="W13" s="9">
        <f>150-U13</f>
        <v>0.41379310344825626</v>
      </c>
      <c r="Y13" s="240" t="s">
        <v>198</v>
      </c>
      <c r="Z13" s="10" t="s">
        <v>143</v>
      </c>
      <c r="AA13" s="232">
        <v>42837</v>
      </c>
      <c r="AB13" s="239">
        <v>540</v>
      </c>
      <c r="AC13" s="281">
        <v>786</v>
      </c>
      <c r="AD13" s="239">
        <v>102.18</v>
      </c>
      <c r="AE13" s="239">
        <v>683.82</v>
      </c>
      <c r="AF13" s="238">
        <f t="shared" si="2"/>
        <v>36.17999999999995</v>
      </c>
    </row>
    <row r="14" spans="8:32">
      <c r="I14" s="318" t="s">
        <v>24</v>
      </c>
      <c r="J14" s="30" t="s">
        <v>30</v>
      </c>
      <c r="K14" s="18"/>
      <c r="L14" s="213">
        <v>0</v>
      </c>
      <c r="M14" s="60"/>
      <c r="N14" s="61">
        <v>0</v>
      </c>
      <c r="O14" s="334"/>
      <c r="P14" s="333">
        <f t="shared" si="1"/>
        <v>0</v>
      </c>
      <c r="Q14" s="195"/>
      <c r="R14" s="31">
        <f t="shared" si="0"/>
        <v>0</v>
      </c>
      <c r="S14" s="7"/>
      <c r="T14" s="26"/>
      <c r="W14" s="162"/>
      <c r="Y14" s="240" t="s">
        <v>197</v>
      </c>
      <c r="Z14" s="10" t="s">
        <v>196</v>
      </c>
      <c r="AA14" s="232">
        <v>42046</v>
      </c>
      <c r="AB14" s="239">
        <v>274.27999999999997</v>
      </c>
      <c r="AC14" s="281">
        <v>323.58999999999997</v>
      </c>
      <c r="AD14" s="239">
        <v>42.07</v>
      </c>
      <c r="AE14" s="239">
        <v>281.52</v>
      </c>
      <c r="AF14" s="238">
        <f t="shared" si="2"/>
        <v>438.48</v>
      </c>
    </row>
    <row r="15" spans="8:32">
      <c r="I15" s="318" t="s">
        <v>18</v>
      </c>
      <c r="J15" s="28" t="s">
        <v>72</v>
      </c>
      <c r="K15" s="18"/>
      <c r="L15" s="213">
        <f>+K15*3</f>
        <v>0</v>
      </c>
      <c r="M15" s="60">
        <v>4</v>
      </c>
      <c r="N15" s="61">
        <f>+M15*3</f>
        <v>12</v>
      </c>
      <c r="O15" s="334"/>
      <c r="P15" s="333">
        <f t="shared" si="1"/>
        <v>0</v>
      </c>
      <c r="Q15" s="196"/>
      <c r="R15" s="31">
        <f t="shared" si="0"/>
        <v>12</v>
      </c>
      <c r="S15" s="7"/>
      <c r="T15" s="137">
        <v>884</v>
      </c>
      <c r="U15" s="182">
        <v>114.92</v>
      </c>
      <c r="V15" s="139">
        <v>769.08</v>
      </c>
      <c r="W15" s="280" t="s">
        <v>51</v>
      </c>
      <c r="Y15" s="240" t="s">
        <v>195</v>
      </c>
      <c r="Z15" s="10" t="s">
        <v>194</v>
      </c>
      <c r="AA15" s="232">
        <v>42801</v>
      </c>
      <c r="AB15" s="239">
        <v>144</v>
      </c>
      <c r="AC15" s="281">
        <v>243.6</v>
      </c>
      <c r="AD15" s="239">
        <v>31.67</v>
      </c>
      <c r="AE15" s="239">
        <v>211.93</v>
      </c>
      <c r="AF15" s="238">
        <f t="shared" si="2"/>
        <v>508.07</v>
      </c>
    </row>
    <row r="16" spans="8:32">
      <c r="H16" s="320" t="s">
        <v>84</v>
      </c>
      <c r="I16" s="83" t="s">
        <v>6</v>
      </c>
      <c r="J16" s="84" t="s">
        <v>99</v>
      </c>
      <c r="K16" s="85"/>
      <c r="L16" s="217">
        <f>+K16*3</f>
        <v>0</v>
      </c>
      <c r="M16" s="325"/>
      <c r="N16" s="326">
        <f t="shared" ref="N16:N28" si="3">+M16*3</f>
        <v>0</v>
      </c>
      <c r="O16" s="88"/>
      <c r="P16" s="89">
        <f t="shared" si="1"/>
        <v>0</v>
      </c>
      <c r="Q16" s="197"/>
      <c r="R16" s="89">
        <f t="shared" si="0"/>
        <v>0</v>
      </c>
      <c r="S16" s="7"/>
      <c r="T16" s="140">
        <f>+U16+V16</f>
        <v>827.58620689655174</v>
      </c>
      <c r="U16" s="284">
        <f>+U15*V16/V15</f>
        <v>107.58620689655172</v>
      </c>
      <c r="V16" s="141">
        <v>720</v>
      </c>
      <c r="W16" s="162"/>
      <c r="Y16" s="240" t="s">
        <v>193</v>
      </c>
      <c r="Z16" s="10" t="s">
        <v>192</v>
      </c>
      <c r="AA16" s="232">
        <v>42499</v>
      </c>
      <c r="AB16" s="239">
        <v>12</v>
      </c>
      <c r="AC16" s="281">
        <v>21.2</v>
      </c>
      <c r="AD16" s="239">
        <v>2.76</v>
      </c>
      <c r="AE16" s="239">
        <v>18.440000000000001</v>
      </c>
      <c r="AF16" s="238">
        <f t="shared" si="2"/>
        <v>701.56</v>
      </c>
    </row>
    <row r="17" spans="4:32">
      <c r="I17" s="318" t="s">
        <v>31</v>
      </c>
      <c r="J17" s="30" t="s">
        <v>32</v>
      </c>
      <c r="K17" s="35"/>
      <c r="L17" s="213"/>
      <c r="M17" s="60"/>
      <c r="N17" s="61">
        <f t="shared" si="3"/>
        <v>0</v>
      </c>
      <c r="O17" s="334">
        <v>40</v>
      </c>
      <c r="P17" s="333">
        <f t="shared" si="1"/>
        <v>150</v>
      </c>
      <c r="Q17" s="195">
        <v>60</v>
      </c>
      <c r="R17" s="228">
        <f t="shared" si="0"/>
        <v>210</v>
      </c>
      <c r="S17" s="7"/>
      <c r="T17" s="142">
        <f>+T15-T16</f>
        <v>56.413793103448256</v>
      </c>
      <c r="U17" s="183"/>
      <c r="V17" s="143"/>
      <c r="W17" s="4" t="s">
        <v>145</v>
      </c>
      <c r="Y17" s="245" t="s">
        <v>191</v>
      </c>
      <c r="Z17" s="244" t="s">
        <v>190</v>
      </c>
      <c r="AA17" s="243">
        <v>42046</v>
      </c>
      <c r="AB17" s="242">
        <v>696</v>
      </c>
      <c r="AC17" s="282">
        <v>968</v>
      </c>
      <c r="AD17" s="242">
        <v>125.45</v>
      </c>
      <c r="AE17" s="241">
        <v>842.55</v>
      </c>
      <c r="AF17" s="319">
        <f t="shared" si="2"/>
        <v>-122.54999999999995</v>
      </c>
    </row>
    <row r="18" spans="4:32">
      <c r="I18" s="318" t="s">
        <v>54</v>
      </c>
      <c r="J18" s="30" t="s">
        <v>55</v>
      </c>
      <c r="K18" s="18"/>
      <c r="L18" s="213">
        <f>+K18*3</f>
        <v>0</v>
      </c>
      <c r="M18" s="60"/>
      <c r="N18" s="61">
        <f t="shared" si="3"/>
        <v>0</v>
      </c>
      <c r="O18" s="334"/>
      <c r="P18" s="333">
        <f t="shared" si="1"/>
        <v>0</v>
      </c>
      <c r="Q18" s="195"/>
      <c r="R18" s="31">
        <f t="shared" si="0"/>
        <v>0</v>
      </c>
      <c r="S18" s="7"/>
      <c r="T18" s="144">
        <v>150</v>
      </c>
      <c r="U18" s="163">
        <f>+T18-T17+0.01</f>
        <v>93.596206896551749</v>
      </c>
      <c r="V18" s="164" t="s">
        <v>232</v>
      </c>
      <c r="W18" s="9">
        <f>150-U18</f>
        <v>56.403793103448251</v>
      </c>
      <c r="Y18" s="240" t="s">
        <v>189</v>
      </c>
      <c r="Z18" s="10" t="s">
        <v>188</v>
      </c>
      <c r="AA18" s="232">
        <v>43347</v>
      </c>
      <c r="AB18" s="239">
        <v>432</v>
      </c>
      <c r="AC18" s="281">
        <v>660</v>
      </c>
      <c r="AD18" s="239">
        <v>85.8</v>
      </c>
      <c r="AE18" s="239">
        <v>574.20000000000005</v>
      </c>
      <c r="AF18" s="238">
        <f t="shared" si="2"/>
        <v>145.79999999999995</v>
      </c>
    </row>
    <row r="19" spans="4:32">
      <c r="I19" s="113" t="s">
        <v>10</v>
      </c>
      <c r="J19" s="114" t="s">
        <v>34</v>
      </c>
      <c r="K19" s="115"/>
      <c r="L19" s="215"/>
      <c r="M19" s="158"/>
      <c r="N19" s="61">
        <f t="shared" si="3"/>
        <v>0</v>
      </c>
      <c r="O19" s="332">
        <v>25</v>
      </c>
      <c r="P19" s="333">
        <f t="shared" si="1"/>
        <v>150</v>
      </c>
      <c r="Q19" s="195"/>
      <c r="R19" s="228">
        <f t="shared" si="0"/>
        <v>150</v>
      </c>
      <c r="S19" s="7"/>
      <c r="T19" s="26"/>
      <c r="W19" s="162"/>
      <c r="Y19" s="240" t="s">
        <v>187</v>
      </c>
      <c r="Z19" s="10" t="s">
        <v>186</v>
      </c>
      <c r="AA19" s="232">
        <v>42837</v>
      </c>
      <c r="AB19" s="239">
        <v>504</v>
      </c>
      <c r="AC19" s="281">
        <v>744</v>
      </c>
      <c r="AD19" s="239">
        <v>91.22</v>
      </c>
      <c r="AE19" s="239">
        <v>652.78</v>
      </c>
      <c r="AF19" s="238">
        <f t="shared" si="2"/>
        <v>67.220000000000027</v>
      </c>
    </row>
    <row r="20" spans="4:32">
      <c r="H20" s="174" t="s">
        <v>155</v>
      </c>
      <c r="I20" s="83" t="s">
        <v>9</v>
      </c>
      <c r="J20" s="221" t="s">
        <v>35</v>
      </c>
      <c r="K20" s="222"/>
      <c r="L20" s="217"/>
      <c r="M20" s="325"/>
      <c r="N20" s="326">
        <f t="shared" si="3"/>
        <v>0</v>
      </c>
      <c r="O20" s="88"/>
      <c r="P20" s="89">
        <f t="shared" si="1"/>
        <v>0</v>
      </c>
      <c r="Q20" s="197"/>
      <c r="R20" s="89">
        <f t="shared" si="0"/>
        <v>0</v>
      </c>
      <c r="S20" s="7"/>
      <c r="T20" s="268"/>
      <c r="U20" s="269"/>
      <c r="V20" s="270"/>
      <c r="W20" s="271"/>
      <c r="Y20" s="240" t="s">
        <v>185</v>
      </c>
      <c r="Z20" s="10" t="s">
        <v>184</v>
      </c>
      <c r="AA20" s="232">
        <v>42125</v>
      </c>
      <c r="AB20" s="239">
        <v>432</v>
      </c>
      <c r="AC20" s="281">
        <v>660</v>
      </c>
      <c r="AD20" s="239">
        <v>80.92</v>
      </c>
      <c r="AE20" s="239">
        <v>579.08000000000004</v>
      </c>
      <c r="AF20" s="238">
        <f t="shared" si="2"/>
        <v>140.91999999999996</v>
      </c>
    </row>
    <row r="21" spans="4:32">
      <c r="H21" s="174" t="s">
        <v>155</v>
      </c>
      <c r="I21" s="83" t="s">
        <v>36</v>
      </c>
      <c r="J21" s="221" t="s">
        <v>37</v>
      </c>
      <c r="K21" s="222"/>
      <c r="L21" s="217"/>
      <c r="M21" s="325"/>
      <c r="N21" s="326">
        <f t="shared" si="3"/>
        <v>0</v>
      </c>
      <c r="O21" s="88">
        <v>23</v>
      </c>
      <c r="P21" s="89">
        <f t="shared" si="1"/>
        <v>138</v>
      </c>
      <c r="Q21" s="197"/>
      <c r="R21" s="89">
        <f t="shared" si="0"/>
        <v>138</v>
      </c>
      <c r="S21" s="7"/>
      <c r="T21" s="268"/>
      <c r="U21" s="269"/>
      <c r="V21" s="272"/>
      <c r="W21" s="273"/>
      <c r="Y21" s="245" t="s">
        <v>183</v>
      </c>
      <c r="Z21" s="244" t="s">
        <v>74</v>
      </c>
      <c r="AA21" s="243">
        <v>42499</v>
      </c>
      <c r="AB21" s="242">
        <v>576</v>
      </c>
      <c r="AC21" s="282">
        <v>828</v>
      </c>
      <c r="AD21" s="242">
        <v>107.64</v>
      </c>
      <c r="AE21" s="241">
        <v>720.36</v>
      </c>
      <c r="AF21" s="319">
        <f t="shared" si="2"/>
        <v>-0.36000000000001364</v>
      </c>
    </row>
    <row r="22" spans="4:32">
      <c r="I22" s="318" t="s">
        <v>64</v>
      </c>
      <c r="J22" s="30" t="s">
        <v>65</v>
      </c>
      <c r="K22" s="35"/>
      <c r="L22" s="213"/>
      <c r="M22" s="60"/>
      <c r="N22" s="61">
        <v>0</v>
      </c>
      <c r="O22" s="334">
        <v>7</v>
      </c>
      <c r="P22" s="333">
        <f t="shared" si="1"/>
        <v>42</v>
      </c>
      <c r="Q22" s="195"/>
      <c r="R22" s="228">
        <f t="shared" si="0"/>
        <v>42</v>
      </c>
      <c r="S22" s="7"/>
      <c r="T22" s="274"/>
      <c r="U22" s="269"/>
      <c r="V22" s="270"/>
      <c r="W22" s="275"/>
      <c r="Y22" s="245" t="s">
        <v>182</v>
      </c>
      <c r="Z22" s="244" t="s">
        <v>51</v>
      </c>
      <c r="AA22" s="243">
        <v>42375</v>
      </c>
      <c r="AB22" s="242">
        <v>624</v>
      </c>
      <c r="AC22" s="282">
        <v>884</v>
      </c>
      <c r="AD22" s="242">
        <v>114.92</v>
      </c>
      <c r="AE22" s="241">
        <v>769.08</v>
      </c>
      <c r="AF22" s="319">
        <f t="shared" si="2"/>
        <v>-49.080000000000041</v>
      </c>
    </row>
    <row r="23" spans="4:32">
      <c r="I23" s="318" t="s">
        <v>13</v>
      </c>
      <c r="J23" s="30" t="s">
        <v>38</v>
      </c>
      <c r="K23" s="35"/>
      <c r="L23" s="213"/>
      <c r="M23" s="60"/>
      <c r="N23" s="61">
        <f t="shared" si="3"/>
        <v>0</v>
      </c>
      <c r="O23" s="334">
        <v>36</v>
      </c>
      <c r="P23" s="333">
        <f t="shared" si="1"/>
        <v>150</v>
      </c>
      <c r="Q23" s="195"/>
      <c r="R23" s="228">
        <f t="shared" si="0"/>
        <v>150</v>
      </c>
      <c r="S23" s="7"/>
      <c r="T23" s="268"/>
      <c r="U23" s="276"/>
      <c r="V23" s="277"/>
      <c r="W23" s="276"/>
      <c r="Y23" s="240" t="s">
        <v>181</v>
      </c>
      <c r="Z23" s="10" t="s">
        <v>180</v>
      </c>
      <c r="AA23" s="232">
        <v>42375</v>
      </c>
      <c r="AB23" s="239">
        <v>492</v>
      </c>
      <c r="AC23" s="281">
        <v>730</v>
      </c>
      <c r="AD23" s="239">
        <v>94.9</v>
      </c>
      <c r="AE23" s="239">
        <v>635.1</v>
      </c>
      <c r="AF23" s="238">
        <f t="shared" si="2"/>
        <v>84.899999999999977</v>
      </c>
    </row>
    <row r="24" spans="4:32">
      <c r="I24" s="318" t="s">
        <v>39</v>
      </c>
      <c r="J24" s="30" t="s">
        <v>40</v>
      </c>
      <c r="K24" s="35"/>
      <c r="L24" s="213"/>
      <c r="M24" s="60"/>
      <c r="N24" s="61">
        <f t="shared" si="3"/>
        <v>0</v>
      </c>
      <c r="O24" s="334"/>
      <c r="P24" s="333">
        <f t="shared" si="1"/>
        <v>0</v>
      </c>
      <c r="Q24" s="195"/>
      <c r="R24" s="31">
        <f t="shared" si="0"/>
        <v>0</v>
      </c>
      <c r="S24" s="7"/>
      <c r="T24" s="268"/>
      <c r="U24" s="269"/>
      <c r="V24" s="270"/>
      <c r="W24" s="275"/>
      <c r="Y24" s="240" t="s">
        <v>179</v>
      </c>
      <c r="Z24" s="10" t="s">
        <v>49</v>
      </c>
      <c r="AA24" s="232">
        <v>42897</v>
      </c>
      <c r="AB24" s="239">
        <v>12</v>
      </c>
      <c r="AC24" s="281">
        <v>21.2</v>
      </c>
      <c r="AD24" s="239">
        <v>2.64</v>
      </c>
      <c r="AE24" s="239">
        <v>18.559999999999999</v>
      </c>
      <c r="AF24" s="238">
        <f t="shared" si="2"/>
        <v>701.44</v>
      </c>
    </row>
    <row r="25" spans="4:32">
      <c r="H25" s="320" t="s">
        <v>84</v>
      </c>
      <c r="I25" s="83" t="s">
        <v>19</v>
      </c>
      <c r="J25" s="84" t="s">
        <v>20</v>
      </c>
      <c r="K25" s="85"/>
      <c r="L25" s="217">
        <f>+K25*3</f>
        <v>0</v>
      </c>
      <c r="M25" s="325"/>
      <c r="N25" s="326">
        <f t="shared" si="3"/>
        <v>0</v>
      </c>
      <c r="O25" s="88"/>
      <c r="P25" s="89">
        <f t="shared" si="1"/>
        <v>0</v>
      </c>
      <c r="Q25" s="197"/>
      <c r="R25" s="89">
        <f t="shared" si="0"/>
        <v>0</v>
      </c>
      <c r="S25" s="7"/>
      <c r="T25" s="268"/>
      <c r="U25" s="269"/>
      <c r="V25" s="270"/>
      <c r="W25" s="271"/>
      <c r="Y25" s="240" t="s">
        <v>178</v>
      </c>
      <c r="Z25" s="10" t="s">
        <v>177</v>
      </c>
      <c r="AA25" s="232" t="s">
        <v>176</v>
      </c>
      <c r="AB25" s="239">
        <v>444</v>
      </c>
      <c r="AC25" s="281">
        <v>674</v>
      </c>
      <c r="AD25" s="239">
        <v>87.62</v>
      </c>
      <c r="AE25" s="239">
        <v>586.38</v>
      </c>
      <c r="AF25" s="238">
        <f t="shared" si="2"/>
        <v>133.62</v>
      </c>
    </row>
    <row r="26" spans="4:32">
      <c r="I26" s="318" t="s">
        <v>41</v>
      </c>
      <c r="J26" s="30" t="s">
        <v>42</v>
      </c>
      <c r="K26" s="35"/>
      <c r="L26" s="213"/>
      <c r="M26" s="60"/>
      <c r="N26" s="61">
        <f t="shared" si="3"/>
        <v>0</v>
      </c>
      <c r="O26" s="334">
        <v>41</v>
      </c>
      <c r="P26" s="333">
        <f t="shared" si="1"/>
        <v>150</v>
      </c>
      <c r="Q26" s="195"/>
      <c r="R26" s="228">
        <f t="shared" si="0"/>
        <v>150</v>
      </c>
      <c r="S26" s="7"/>
      <c r="T26" s="268"/>
      <c r="U26" s="269"/>
      <c r="V26" s="272"/>
      <c r="W26" s="275"/>
      <c r="Y26" s="240" t="s">
        <v>175</v>
      </c>
      <c r="Z26" s="10" t="s">
        <v>57</v>
      </c>
      <c r="AA26" s="232">
        <v>42889</v>
      </c>
      <c r="AB26" s="239">
        <v>528</v>
      </c>
      <c r="AC26" s="281">
        <v>772</v>
      </c>
      <c r="AD26" s="239">
        <v>90.63</v>
      </c>
      <c r="AE26" s="239">
        <v>681.37</v>
      </c>
      <c r="AF26" s="238">
        <f t="shared" si="2"/>
        <v>38.629999999999995</v>
      </c>
    </row>
    <row r="27" spans="4:32">
      <c r="I27" s="318" t="s">
        <v>26</v>
      </c>
      <c r="J27" s="30" t="s">
        <v>48</v>
      </c>
      <c r="K27" s="18"/>
      <c r="L27" s="213">
        <v>0</v>
      </c>
      <c r="M27" s="60"/>
      <c r="N27" s="61">
        <f t="shared" si="3"/>
        <v>0</v>
      </c>
      <c r="O27" s="334">
        <v>21</v>
      </c>
      <c r="P27" s="333">
        <f t="shared" si="1"/>
        <v>126</v>
      </c>
      <c r="Q27" s="195"/>
      <c r="R27" s="228">
        <f>+L27+N30+P27+Q27</f>
        <v>126</v>
      </c>
      <c r="S27" s="7"/>
      <c r="T27" s="274"/>
      <c r="U27" s="269"/>
      <c r="V27" s="270"/>
      <c r="W27" s="278"/>
      <c r="Y27" s="130"/>
      <c r="Z27" s="237"/>
      <c r="AA27" s="236"/>
      <c r="AB27" s="235">
        <f>SUM(AB11:AB26)</f>
        <v>6358.28</v>
      </c>
      <c r="AC27" s="283">
        <f>SUM(AC11:AC26)</f>
        <v>9334.39</v>
      </c>
      <c r="AD27" s="235">
        <f>SUM(AD11:AD26)</f>
        <v>1192.8600000000001</v>
      </c>
      <c r="AE27" s="235">
        <f>SUM(AE11:AE26)</f>
        <v>8141.53</v>
      </c>
      <c r="AF27" s="234"/>
    </row>
    <row r="28" spans="4:32">
      <c r="I28" s="318" t="s">
        <v>67</v>
      </c>
      <c r="J28" s="28" t="s">
        <v>68</v>
      </c>
      <c r="K28" s="18"/>
      <c r="L28" s="213">
        <v>0</v>
      </c>
      <c r="M28" s="324"/>
      <c r="N28" s="61">
        <f t="shared" si="3"/>
        <v>0</v>
      </c>
      <c r="O28" s="330"/>
      <c r="P28" s="333">
        <f t="shared" si="1"/>
        <v>0</v>
      </c>
      <c r="Q28" s="196"/>
      <c r="R28" s="31">
        <f t="shared" si="0"/>
        <v>0</v>
      </c>
      <c r="S28" s="7"/>
      <c r="T28" s="268"/>
      <c r="U28" s="276"/>
      <c r="V28" s="277"/>
      <c r="W28" s="279"/>
      <c r="Y28" s="233"/>
      <c r="Z28" s="10"/>
      <c r="AA28" s="232"/>
      <c r="AB28" s="231"/>
      <c r="AC28" s="231"/>
      <c r="AD28" s="231"/>
      <c r="AE28" s="231"/>
      <c r="AF28" s="230"/>
    </row>
    <row r="29" spans="4:32">
      <c r="H29" s="320" t="s">
        <v>84</v>
      </c>
      <c r="I29" s="83" t="s">
        <v>21</v>
      </c>
      <c r="J29" s="84" t="s">
        <v>152</v>
      </c>
      <c r="K29" s="85"/>
      <c r="L29" s="217">
        <v>0</v>
      </c>
      <c r="M29" s="325"/>
      <c r="N29" s="326">
        <v>0</v>
      </c>
      <c r="O29" s="88"/>
      <c r="P29" s="89">
        <f t="shared" si="1"/>
        <v>0</v>
      </c>
      <c r="Q29" s="197"/>
      <c r="R29" s="89">
        <f t="shared" si="0"/>
        <v>0</v>
      </c>
      <c r="S29" s="7"/>
      <c r="T29" s="268"/>
      <c r="U29" s="269"/>
      <c r="V29" s="270"/>
      <c r="W29" s="275"/>
      <c r="Y29" s="289" t="s">
        <v>233</v>
      </c>
      <c r="Z29" s="264"/>
      <c r="AA29" s="264"/>
      <c r="AB29" s="264"/>
      <c r="AC29" s="250" t="s">
        <v>229</v>
      </c>
      <c r="AD29" s="249" t="s">
        <v>213</v>
      </c>
      <c r="AE29" s="249"/>
    </row>
    <row r="30" spans="4:32">
      <c r="H30" s="174" t="s">
        <v>155</v>
      </c>
      <c r="I30" s="83" t="s">
        <v>43</v>
      </c>
      <c r="J30" s="84" t="s">
        <v>73</v>
      </c>
      <c r="K30" s="85"/>
      <c r="L30" s="217">
        <v>0</v>
      </c>
      <c r="M30" s="325"/>
      <c r="N30" s="326">
        <f>+M27*3</f>
        <v>0</v>
      </c>
      <c r="O30" s="88"/>
      <c r="P30" s="89">
        <f t="shared" si="1"/>
        <v>0</v>
      </c>
      <c r="Q30" s="197"/>
      <c r="R30" s="89">
        <f>+L30+N32+P30+Q30</f>
        <v>0</v>
      </c>
      <c r="S30" s="7"/>
      <c r="T30" s="268"/>
      <c r="U30" s="269"/>
      <c r="V30" s="270"/>
      <c r="W30" s="271"/>
      <c r="Y30" s="259" t="s">
        <v>228</v>
      </c>
      <c r="Z30" s="263" t="s">
        <v>227</v>
      </c>
      <c r="AA30" s="262"/>
      <c r="AB30" s="262"/>
      <c r="AC30" s="250" t="s">
        <v>226</v>
      </c>
      <c r="AD30" s="261" t="s">
        <v>213</v>
      </c>
      <c r="AE30" s="261"/>
    </row>
    <row r="31" spans="4:32">
      <c r="H31" s="4"/>
      <c r="I31" s="113" t="s">
        <v>44</v>
      </c>
      <c r="J31" s="114" t="s">
        <v>45</v>
      </c>
      <c r="K31" s="120"/>
      <c r="L31" s="215">
        <f>+K31*3</f>
        <v>0</v>
      </c>
      <c r="M31" s="158"/>
      <c r="N31" s="61">
        <v>0</v>
      </c>
      <c r="O31" s="332"/>
      <c r="P31" s="333">
        <f>IF(O31&gt;25,150,(O31)*6)</f>
        <v>0</v>
      </c>
      <c r="Q31" s="196"/>
      <c r="R31" s="23">
        <f t="shared" si="0"/>
        <v>0</v>
      </c>
      <c r="S31" s="7"/>
      <c r="T31" s="268"/>
      <c r="U31" s="269"/>
      <c r="V31" s="272"/>
      <c r="W31" s="275"/>
      <c r="Y31" s="259" t="s">
        <v>225</v>
      </c>
      <c r="Z31" s="251" t="s">
        <v>224</v>
      </c>
      <c r="AA31" s="250" t="s">
        <v>223</v>
      </c>
      <c r="AB31" s="255">
        <v>43256</v>
      </c>
      <c r="AC31" s="258" t="s">
        <v>222</v>
      </c>
      <c r="AD31" s="257">
        <v>2018</v>
      </c>
      <c r="AE31" s="10"/>
    </row>
    <row r="32" spans="4:32" s="4" customFormat="1">
      <c r="D32" s="3"/>
      <c r="F32" s="166"/>
      <c r="I32" s="113" t="s">
        <v>14</v>
      </c>
      <c r="J32" s="114" t="s">
        <v>66</v>
      </c>
      <c r="K32" s="120"/>
      <c r="L32" s="215">
        <f>+K32*3</f>
        <v>0</v>
      </c>
      <c r="M32" s="158"/>
      <c r="N32" s="61">
        <f>+M30*3</f>
        <v>0</v>
      </c>
      <c r="O32" s="332">
        <v>3</v>
      </c>
      <c r="P32" s="333">
        <f>IF(O32&gt;25,150,(O32)*6)</f>
        <v>18</v>
      </c>
      <c r="Q32" s="196"/>
      <c r="R32" s="229">
        <f t="shared" si="0"/>
        <v>18</v>
      </c>
      <c r="S32" s="7"/>
      <c r="T32" s="274"/>
      <c r="U32" s="269"/>
      <c r="V32" s="270"/>
      <c r="W32" s="278"/>
      <c r="Y32" s="252" t="s">
        <v>221</v>
      </c>
      <c r="Z32" s="251" t="s">
        <v>220</v>
      </c>
      <c r="AA32" s="250" t="s">
        <v>219</v>
      </c>
      <c r="AB32" s="254" t="s">
        <v>218</v>
      </c>
      <c r="AC32" s="250" t="s">
        <v>217</v>
      </c>
      <c r="AD32" s="255">
        <v>43348</v>
      </c>
      <c r="AE32" s="249"/>
    </row>
    <row r="33" spans="8:31">
      <c r="I33" s="318" t="s">
        <v>15</v>
      </c>
      <c r="J33" s="28" t="s">
        <v>16</v>
      </c>
      <c r="K33" s="18"/>
      <c r="L33" s="213">
        <f>+K33*3</f>
        <v>0</v>
      </c>
      <c r="M33" s="60">
        <v>5</v>
      </c>
      <c r="N33" s="323">
        <f>5*M33</f>
        <v>25</v>
      </c>
      <c r="O33" s="334"/>
      <c r="P33" s="331">
        <f t="shared" ref="P33:P42" si="4">IF(O33&gt;25,150,(O33)*6)</f>
        <v>0</v>
      </c>
      <c r="Q33" s="196"/>
      <c r="R33" s="23">
        <f t="shared" si="0"/>
        <v>25</v>
      </c>
      <c r="S33" s="7"/>
      <c r="T33" s="268"/>
      <c r="U33" s="276"/>
      <c r="V33" s="277"/>
      <c r="W33" s="279"/>
      <c r="Y33" s="252" t="s">
        <v>216</v>
      </c>
      <c r="Z33" s="251" t="s">
        <v>215</v>
      </c>
      <c r="AA33" s="250" t="s">
        <v>214</v>
      </c>
      <c r="AB33" s="249" t="s">
        <v>213</v>
      </c>
      <c r="AC33" s="250" t="s">
        <v>212</v>
      </c>
      <c r="AD33" s="249" t="s">
        <v>211</v>
      </c>
      <c r="AE33" s="249"/>
    </row>
    <row r="34" spans="8:31" ht="17.25" thickBot="1">
      <c r="I34" s="318" t="s">
        <v>17</v>
      </c>
      <c r="J34" s="30" t="s">
        <v>119</v>
      </c>
      <c r="K34" s="35"/>
      <c r="L34" s="213"/>
      <c r="M34" s="60"/>
      <c r="N34" s="61">
        <v>0</v>
      </c>
      <c r="O34" s="334">
        <v>27</v>
      </c>
      <c r="P34" s="333">
        <f t="shared" si="4"/>
        <v>150</v>
      </c>
      <c r="Q34" s="195"/>
      <c r="R34" s="31">
        <f t="shared" si="0"/>
        <v>150</v>
      </c>
      <c r="S34" s="7"/>
      <c r="T34" s="270"/>
      <c r="U34" s="269"/>
      <c r="V34" s="270"/>
      <c r="W34" s="275"/>
      <c r="Y34" s="247" t="s">
        <v>210</v>
      </c>
      <c r="Z34" s="247" t="s">
        <v>209</v>
      </c>
      <c r="AA34" s="246" t="s">
        <v>208</v>
      </c>
      <c r="AB34" s="246" t="s">
        <v>207</v>
      </c>
      <c r="AC34" s="246" t="s">
        <v>206</v>
      </c>
      <c r="AD34" s="246" t="s">
        <v>205</v>
      </c>
      <c r="AE34" s="246" t="s">
        <v>204</v>
      </c>
    </row>
    <row r="35" spans="8:31">
      <c r="I35" s="113" t="s">
        <v>75</v>
      </c>
      <c r="J35" s="114" t="s">
        <v>76</v>
      </c>
      <c r="K35" s="115"/>
      <c r="L35" s="215"/>
      <c r="M35" s="158"/>
      <c r="N35" s="61">
        <f>+M35*3</f>
        <v>0</v>
      </c>
      <c r="O35" s="332">
        <v>25</v>
      </c>
      <c r="P35" s="333">
        <f t="shared" si="4"/>
        <v>150</v>
      </c>
      <c r="Q35" s="195"/>
      <c r="R35" s="228">
        <f t="shared" si="0"/>
        <v>150</v>
      </c>
      <c r="S35" s="7"/>
      <c r="T35" s="268"/>
      <c r="U35" s="269"/>
      <c r="V35" s="270"/>
      <c r="W35" s="271"/>
      <c r="Y35" s="240" t="s">
        <v>202</v>
      </c>
      <c r="Z35" s="10" t="s">
        <v>201</v>
      </c>
      <c r="AA35" s="232">
        <v>43102</v>
      </c>
      <c r="AB35" s="239">
        <v>444</v>
      </c>
      <c r="AC35" s="239">
        <v>674</v>
      </c>
      <c r="AD35" s="239">
        <v>87.62</v>
      </c>
      <c r="AE35" s="239">
        <v>586.38</v>
      </c>
    </row>
    <row r="36" spans="8:31">
      <c r="I36" s="113" t="s">
        <v>146</v>
      </c>
      <c r="J36" s="114" t="s">
        <v>55</v>
      </c>
      <c r="K36" s="115"/>
      <c r="L36" s="215"/>
      <c r="M36" s="158">
        <v>3</v>
      </c>
      <c r="N36" s="61">
        <v>0</v>
      </c>
      <c r="O36" s="332"/>
      <c r="P36" s="333">
        <f t="shared" si="4"/>
        <v>0</v>
      </c>
      <c r="Q36" s="195"/>
      <c r="R36" s="31">
        <f t="shared" si="0"/>
        <v>0</v>
      </c>
      <c r="S36" s="7"/>
      <c r="T36" s="268"/>
      <c r="U36" s="269"/>
      <c r="V36" s="272"/>
      <c r="W36" s="273"/>
      <c r="Y36" s="240" t="s">
        <v>200</v>
      </c>
      <c r="Z36" s="10" t="s">
        <v>199</v>
      </c>
      <c r="AA36" s="232">
        <v>42837</v>
      </c>
      <c r="AB36" s="239">
        <v>204</v>
      </c>
      <c r="AC36" s="239">
        <v>344.8</v>
      </c>
      <c r="AD36" s="239">
        <v>44.82</v>
      </c>
      <c r="AE36" s="239">
        <v>299.98</v>
      </c>
    </row>
    <row r="37" spans="8:31">
      <c r="I37" s="113" t="s">
        <v>69</v>
      </c>
      <c r="J37" s="114" t="s">
        <v>70</v>
      </c>
      <c r="K37" s="115"/>
      <c r="L37" s="215">
        <v>0</v>
      </c>
      <c r="M37" s="158"/>
      <c r="N37" s="61">
        <f>+M37*3</f>
        <v>0</v>
      </c>
      <c r="O37" s="332">
        <v>27</v>
      </c>
      <c r="P37" s="333">
        <f t="shared" si="4"/>
        <v>150</v>
      </c>
      <c r="Q37" s="195"/>
      <c r="R37" s="228">
        <f t="shared" si="0"/>
        <v>150</v>
      </c>
      <c r="S37" s="7"/>
      <c r="T37" s="274"/>
      <c r="U37" s="269"/>
      <c r="V37" s="270"/>
      <c r="W37" s="275"/>
      <c r="Y37" s="240" t="s">
        <v>198</v>
      </c>
      <c r="Z37" s="10" t="s">
        <v>143</v>
      </c>
      <c r="AA37" s="232">
        <v>42837</v>
      </c>
      <c r="AB37" s="239">
        <v>540</v>
      </c>
      <c r="AC37" s="239">
        <v>786</v>
      </c>
      <c r="AD37" s="239">
        <v>102.18</v>
      </c>
      <c r="AE37" s="239">
        <v>683.82</v>
      </c>
    </row>
    <row r="38" spans="8:31">
      <c r="I38" s="318" t="s">
        <v>91</v>
      </c>
      <c r="J38" s="30" t="s">
        <v>92</v>
      </c>
      <c r="K38" s="35"/>
      <c r="L38" s="213">
        <v>0</v>
      </c>
      <c r="M38" s="60"/>
      <c r="N38" s="61">
        <f>+M38*3</f>
        <v>0</v>
      </c>
      <c r="O38" s="334">
        <v>28</v>
      </c>
      <c r="P38" s="333">
        <f t="shared" si="4"/>
        <v>150</v>
      </c>
      <c r="Q38" s="195"/>
      <c r="R38" s="228">
        <f t="shared" si="0"/>
        <v>150</v>
      </c>
      <c r="S38" s="7"/>
      <c r="T38" s="268"/>
      <c r="U38" s="276"/>
      <c r="V38" s="277"/>
      <c r="W38" s="276"/>
      <c r="Y38" s="240" t="s">
        <v>197</v>
      </c>
      <c r="Z38" s="10" t="s">
        <v>196</v>
      </c>
      <c r="AA38" s="232">
        <v>42046</v>
      </c>
      <c r="AB38" s="239">
        <v>274.27999999999997</v>
      </c>
      <c r="AC38" s="239">
        <v>323.58999999999997</v>
      </c>
      <c r="AD38" s="239">
        <v>42.07</v>
      </c>
      <c r="AE38" s="239">
        <v>281.52</v>
      </c>
    </row>
    <row r="39" spans="8:31">
      <c r="I39" s="318" t="s">
        <v>93</v>
      </c>
      <c r="J39" s="28" t="s">
        <v>94</v>
      </c>
      <c r="K39" s="18"/>
      <c r="L39" s="213">
        <v>0</v>
      </c>
      <c r="M39" s="60"/>
      <c r="N39" s="61">
        <v>0</v>
      </c>
      <c r="O39" s="334"/>
      <c r="P39" s="333">
        <f t="shared" si="4"/>
        <v>0</v>
      </c>
      <c r="Q39" s="196"/>
      <c r="R39" s="31">
        <f t="shared" si="0"/>
        <v>0</v>
      </c>
      <c r="S39" s="7"/>
      <c r="T39" s="270"/>
      <c r="U39" s="269"/>
      <c r="V39" s="270"/>
      <c r="W39" s="275"/>
      <c r="Y39" s="240" t="s">
        <v>195</v>
      </c>
      <c r="Z39" s="10" t="s">
        <v>194</v>
      </c>
      <c r="AA39" s="232">
        <v>42801</v>
      </c>
      <c r="AB39" s="239">
        <v>144</v>
      </c>
      <c r="AC39" s="239">
        <v>243.6</v>
      </c>
      <c r="AD39" s="239">
        <v>31.67</v>
      </c>
      <c r="AE39" s="239">
        <v>211.93</v>
      </c>
    </row>
    <row r="40" spans="8:31">
      <c r="I40" s="318" t="s">
        <v>120</v>
      </c>
      <c r="J40" s="28" t="s">
        <v>121</v>
      </c>
      <c r="K40" s="18"/>
      <c r="L40" s="213">
        <v>0</v>
      </c>
      <c r="M40" s="60"/>
      <c r="N40" s="61">
        <v>0</v>
      </c>
      <c r="O40" s="334"/>
      <c r="P40" s="333">
        <f t="shared" si="4"/>
        <v>0</v>
      </c>
      <c r="Q40" s="196"/>
      <c r="R40" s="31">
        <f t="shared" si="0"/>
        <v>0</v>
      </c>
      <c r="S40" s="7"/>
      <c r="T40" s="268"/>
      <c r="U40" s="269"/>
      <c r="V40" s="270"/>
      <c r="W40" s="271"/>
      <c r="Y40" s="240" t="s">
        <v>193</v>
      </c>
      <c r="Z40" s="10" t="s">
        <v>192</v>
      </c>
      <c r="AA40" s="232">
        <v>42499</v>
      </c>
      <c r="AB40" s="239">
        <v>12</v>
      </c>
      <c r="AC40" s="239">
        <v>21.2</v>
      </c>
      <c r="AD40" s="239">
        <v>2.76</v>
      </c>
      <c r="AE40" s="239">
        <v>18.440000000000001</v>
      </c>
    </row>
    <row r="41" spans="8:31">
      <c r="I41" s="318" t="s">
        <v>125</v>
      </c>
      <c r="J41" s="28" t="s">
        <v>126</v>
      </c>
      <c r="K41" s="18"/>
      <c r="L41" s="213">
        <v>0</v>
      </c>
      <c r="M41" s="60"/>
      <c r="N41" s="61">
        <v>0</v>
      </c>
      <c r="O41" s="334">
        <v>27</v>
      </c>
      <c r="P41" s="333">
        <f t="shared" si="4"/>
        <v>150</v>
      </c>
      <c r="Q41" s="196"/>
      <c r="R41" s="228">
        <f t="shared" si="0"/>
        <v>150</v>
      </c>
      <c r="S41" s="7"/>
      <c r="T41" s="268"/>
      <c r="U41" s="269"/>
      <c r="V41" s="272"/>
      <c r="W41" s="270"/>
      <c r="Y41" s="285" t="s">
        <v>191</v>
      </c>
      <c r="Z41" s="286" t="s">
        <v>190</v>
      </c>
      <c r="AA41" s="287">
        <v>42046</v>
      </c>
      <c r="AB41" s="282">
        <v>696</v>
      </c>
      <c r="AC41" s="282">
        <v>827.2</v>
      </c>
      <c r="AD41" s="282">
        <v>107.21</v>
      </c>
      <c r="AE41" s="288">
        <v>719.99</v>
      </c>
    </row>
    <row r="42" spans="8:31">
      <c r="H42" s="320" t="s">
        <v>84</v>
      </c>
      <c r="I42" s="198" t="s">
        <v>158</v>
      </c>
      <c r="J42" s="199" t="s">
        <v>159</v>
      </c>
      <c r="K42" s="200"/>
      <c r="L42" s="218">
        <v>0</v>
      </c>
      <c r="M42" s="327"/>
      <c r="N42" s="328">
        <f>+M42*3</f>
        <v>0</v>
      </c>
      <c r="O42" s="204"/>
      <c r="P42" s="203">
        <f t="shared" si="4"/>
        <v>0</v>
      </c>
      <c r="Q42" s="205"/>
      <c r="R42" s="203">
        <f t="shared" si="0"/>
        <v>0</v>
      </c>
      <c r="S42" s="7"/>
      <c r="T42" s="268"/>
      <c r="U42" s="269"/>
      <c r="V42" s="272"/>
      <c r="W42" s="270"/>
      <c r="Y42" s="240" t="s">
        <v>189</v>
      </c>
      <c r="Z42" s="10" t="s">
        <v>188</v>
      </c>
      <c r="AA42" s="232">
        <v>43347</v>
      </c>
      <c r="AB42" s="239">
        <v>432</v>
      </c>
      <c r="AC42" s="239">
        <v>660</v>
      </c>
      <c r="AD42" s="239">
        <v>85.8</v>
      </c>
      <c r="AE42" s="239">
        <v>574.20000000000005</v>
      </c>
    </row>
    <row r="43" spans="8:31">
      <c r="I43" s="41"/>
      <c r="J43" s="42"/>
      <c r="K43" s="65">
        <f t="shared" ref="K43:Q43" si="5">SUM(K5:K42)</f>
        <v>0</v>
      </c>
      <c r="L43" s="66">
        <f t="shared" si="5"/>
        <v>0</v>
      </c>
      <c r="M43" s="337">
        <f t="shared" si="5"/>
        <v>21</v>
      </c>
      <c r="N43" s="338">
        <f t="shared" si="5"/>
        <v>52</v>
      </c>
      <c r="O43" s="335">
        <f t="shared" si="5"/>
        <v>434</v>
      </c>
      <c r="P43" s="336">
        <f t="shared" si="5"/>
        <v>2142</v>
      </c>
      <c r="Q43" s="58">
        <f t="shared" si="5"/>
        <v>60</v>
      </c>
      <c r="R43" s="57">
        <f t="shared" si="0"/>
        <v>2254</v>
      </c>
      <c r="S43" s="7"/>
      <c r="T43" s="274"/>
      <c r="U43" s="269"/>
      <c r="V43" s="270"/>
      <c r="W43" s="278"/>
      <c r="Y43" s="240" t="s">
        <v>187</v>
      </c>
      <c r="Z43" s="10" t="s">
        <v>186</v>
      </c>
      <c r="AA43" s="232">
        <v>42837</v>
      </c>
      <c r="AB43" s="239">
        <v>504</v>
      </c>
      <c r="AC43" s="239">
        <v>744</v>
      </c>
      <c r="AD43" s="239">
        <v>91.22</v>
      </c>
      <c r="AE43" s="239">
        <v>652.78</v>
      </c>
    </row>
    <row r="44" spans="8:31">
      <c r="L44" s="167" t="s">
        <v>105</v>
      </c>
      <c r="M44" s="168">
        <v>245</v>
      </c>
      <c r="N44" s="167" t="s">
        <v>105</v>
      </c>
      <c r="O44" s="168">
        <f>+O45-O43</f>
        <v>-434</v>
      </c>
      <c r="P44" s="168">
        <f>+P45-P43</f>
        <v>150</v>
      </c>
      <c r="Q44" s="168"/>
      <c r="R44" s="175">
        <f>+R16+R20+R21+R25+R29+R30+R42</f>
        <v>138</v>
      </c>
      <c r="S44" s="7"/>
      <c r="T44" s="268"/>
      <c r="U44" s="276"/>
      <c r="V44" s="277"/>
      <c r="W44" s="279"/>
      <c r="Y44" s="240" t="s">
        <v>185</v>
      </c>
      <c r="Z44" s="10" t="s">
        <v>184</v>
      </c>
      <c r="AA44" s="232">
        <v>42125</v>
      </c>
      <c r="AB44" s="239">
        <v>432</v>
      </c>
      <c r="AC44" s="239">
        <v>660</v>
      </c>
      <c r="AD44" s="239">
        <v>80.92</v>
      </c>
      <c r="AE44" s="239">
        <v>579.08000000000004</v>
      </c>
    </row>
    <row r="45" spans="8:31">
      <c r="L45" s="169"/>
      <c r="M45" s="170">
        <f>+M43-M44</f>
        <v>-224</v>
      </c>
      <c r="N45" s="171" t="s">
        <v>147</v>
      </c>
      <c r="O45" s="169"/>
      <c r="P45" s="169">
        <v>2292</v>
      </c>
      <c r="Q45" s="176" t="s">
        <v>133</v>
      </c>
      <c r="R45" s="177">
        <f>+R43-R44</f>
        <v>2116</v>
      </c>
      <c r="S45" s="7"/>
      <c r="T45" s="270"/>
      <c r="U45" s="269"/>
      <c r="V45" s="270"/>
      <c r="W45" s="270"/>
      <c r="Y45" s="285" t="s">
        <v>183</v>
      </c>
      <c r="Z45" s="286" t="s">
        <v>74</v>
      </c>
      <c r="AA45" s="287">
        <v>42499</v>
      </c>
      <c r="AB45" s="282">
        <v>576</v>
      </c>
      <c r="AC45" s="282">
        <v>827.59</v>
      </c>
      <c r="AD45" s="282">
        <v>107.59</v>
      </c>
      <c r="AE45" s="288">
        <v>720</v>
      </c>
    </row>
    <row r="46" spans="8:31">
      <c r="T46" s="270"/>
      <c r="U46" s="269"/>
      <c r="V46" s="270"/>
      <c r="W46" s="270"/>
      <c r="Y46" s="285" t="s">
        <v>182</v>
      </c>
      <c r="Z46" s="286" t="s">
        <v>51</v>
      </c>
      <c r="AA46" s="287">
        <v>42375</v>
      </c>
      <c r="AB46" s="282">
        <v>624</v>
      </c>
      <c r="AC46" s="282">
        <v>827.6</v>
      </c>
      <c r="AD46" s="282">
        <v>107.59</v>
      </c>
      <c r="AE46" s="288">
        <v>720.01</v>
      </c>
    </row>
    <row r="47" spans="8:31">
      <c r="Q47">
        <f>186/31</f>
        <v>6</v>
      </c>
      <c r="T47" s="270"/>
      <c r="U47" s="269"/>
      <c r="V47" s="270"/>
      <c r="W47" s="270"/>
      <c r="Y47" s="240" t="s">
        <v>181</v>
      </c>
      <c r="Z47" s="10" t="s">
        <v>180</v>
      </c>
      <c r="AA47" s="232">
        <v>42375</v>
      </c>
      <c r="AB47" s="239">
        <v>492</v>
      </c>
      <c r="AC47" s="239">
        <v>730</v>
      </c>
      <c r="AD47" s="239">
        <v>94.9</v>
      </c>
      <c r="AE47" s="239">
        <v>635.1</v>
      </c>
    </row>
    <row r="48" spans="8:31">
      <c r="P48" s="67"/>
      <c r="T48" s="270"/>
      <c r="U48" s="269"/>
      <c r="V48" s="270"/>
      <c r="W48" s="270"/>
      <c r="Y48" s="240" t="s">
        <v>179</v>
      </c>
      <c r="Z48" s="10" t="s">
        <v>49</v>
      </c>
      <c r="AA48" s="232">
        <v>42897</v>
      </c>
      <c r="AB48" s="239">
        <v>12</v>
      </c>
      <c r="AC48" s="239">
        <v>21.2</v>
      </c>
      <c r="AD48" s="239">
        <v>2.64</v>
      </c>
      <c r="AE48" s="239">
        <v>18.559999999999999</v>
      </c>
    </row>
    <row r="49" spans="16:35">
      <c r="P49" s="67"/>
      <c r="T49" s="270"/>
      <c r="U49" s="269"/>
      <c r="V49" s="270"/>
      <c r="W49" s="270"/>
      <c r="Y49" s="240" t="s">
        <v>178</v>
      </c>
      <c r="Z49" s="10" t="s">
        <v>177</v>
      </c>
      <c r="AA49" s="232" t="s">
        <v>176</v>
      </c>
      <c r="AB49" s="239">
        <v>444</v>
      </c>
      <c r="AC49" s="239">
        <v>674</v>
      </c>
      <c r="AD49" s="239">
        <v>87.62</v>
      </c>
      <c r="AE49" s="239">
        <v>586.38</v>
      </c>
    </row>
    <row r="50" spans="16:35">
      <c r="T50" s="270"/>
      <c r="U50" s="269"/>
      <c r="V50" s="270"/>
      <c r="W50" s="270"/>
      <c r="Y50" s="240" t="s">
        <v>175</v>
      </c>
      <c r="Z50" s="10" t="s">
        <v>57</v>
      </c>
      <c r="AA50" s="232">
        <v>42889</v>
      </c>
      <c r="AB50" s="239">
        <v>528</v>
      </c>
      <c r="AC50" s="239">
        <v>772</v>
      </c>
      <c r="AD50" s="239">
        <v>90.63</v>
      </c>
      <c r="AE50" s="239">
        <v>681.37</v>
      </c>
    </row>
    <row r="51" spans="16:35">
      <c r="T51" s="270"/>
      <c r="U51" s="269"/>
      <c r="V51" s="270"/>
      <c r="W51" s="270"/>
      <c r="Y51" s="130"/>
      <c r="Z51" s="237"/>
      <c r="AA51" s="236"/>
      <c r="AB51" s="235">
        <f>SUM(AB35:AB50)</f>
        <v>6358.28</v>
      </c>
      <c r="AC51" s="235">
        <f>SUM(AC35:AC50)</f>
        <v>9136.7799999999988</v>
      </c>
      <c r="AD51" s="235">
        <f>SUM(AD35:AD50)</f>
        <v>1167.2400000000002</v>
      </c>
      <c r="AE51" s="235">
        <f>SUM(AE35:AE50)</f>
        <v>7969.5400000000009</v>
      </c>
    </row>
    <row r="52" spans="16:35">
      <c r="T52" s="270"/>
      <c r="U52" s="269"/>
      <c r="V52" s="270"/>
      <c r="W52" s="270"/>
    </row>
    <row r="53" spans="16:35">
      <c r="Y53" s="291" t="s">
        <v>230</v>
      </c>
      <c r="Z53" s="292"/>
      <c r="AA53" s="292"/>
      <c r="AB53" s="292"/>
      <c r="AC53" s="293" t="s">
        <v>229</v>
      </c>
      <c r="AD53" s="294" t="s">
        <v>213</v>
      </c>
      <c r="AE53" s="295"/>
      <c r="AF53" s="248"/>
      <c r="AG53" s="249"/>
      <c r="AH53" s="249"/>
      <c r="AI53" s="254"/>
    </row>
    <row r="54" spans="16:35">
      <c r="Y54" s="296" t="s">
        <v>228</v>
      </c>
      <c r="Z54" s="297" t="s">
        <v>227</v>
      </c>
      <c r="AA54" s="298"/>
      <c r="AB54" s="298"/>
      <c r="AC54" s="299" t="s">
        <v>226</v>
      </c>
      <c r="AD54" s="260" t="s">
        <v>213</v>
      </c>
      <c r="AE54" s="300"/>
      <c r="AF54" s="260"/>
      <c r="AG54" s="261"/>
      <c r="AH54" s="261"/>
      <c r="AI54" s="254"/>
    </row>
    <row r="55" spans="16:35">
      <c r="Y55" s="296" t="s">
        <v>225</v>
      </c>
      <c r="Z55" s="301" t="s">
        <v>224</v>
      </c>
      <c r="AA55" s="299" t="s">
        <v>223</v>
      </c>
      <c r="AB55" s="302">
        <v>43256</v>
      </c>
      <c r="AC55" s="303" t="s">
        <v>222</v>
      </c>
      <c r="AD55" s="304">
        <v>2018</v>
      </c>
      <c r="AE55" s="305"/>
      <c r="AF55" s="256"/>
      <c r="AG55" s="10"/>
      <c r="AH55" s="10"/>
      <c r="AI55" s="10"/>
    </row>
    <row r="56" spans="16:35">
      <c r="Y56" s="306" t="s">
        <v>221</v>
      </c>
      <c r="Z56" s="301" t="s">
        <v>220</v>
      </c>
      <c r="AA56" s="299" t="s">
        <v>219</v>
      </c>
      <c r="AB56" s="253" t="s">
        <v>218</v>
      </c>
      <c r="AC56" s="299" t="s">
        <v>217</v>
      </c>
      <c r="AD56" s="302">
        <v>43348</v>
      </c>
      <c r="AE56" s="307"/>
      <c r="AF56" s="248"/>
      <c r="AG56" s="249"/>
      <c r="AH56" s="249"/>
      <c r="AI56" s="254"/>
    </row>
    <row r="57" spans="16:35">
      <c r="Y57" s="306" t="s">
        <v>216</v>
      </c>
      <c r="Z57" s="301" t="s">
        <v>215</v>
      </c>
      <c r="AA57" s="299" t="s">
        <v>214</v>
      </c>
      <c r="AB57" s="248" t="s">
        <v>213</v>
      </c>
      <c r="AC57" s="299" t="s">
        <v>212</v>
      </c>
      <c r="AD57" s="248" t="s">
        <v>211</v>
      </c>
      <c r="AE57" s="307"/>
      <c r="AF57" s="248"/>
      <c r="AG57" s="249"/>
      <c r="AH57" s="249"/>
      <c r="AI57" s="250"/>
    </row>
    <row r="58" spans="16:35" ht="17.25" thickBot="1">
      <c r="Y58" s="308" t="s">
        <v>210</v>
      </c>
      <c r="Z58" s="247" t="s">
        <v>209</v>
      </c>
      <c r="AA58" s="246" t="s">
        <v>208</v>
      </c>
      <c r="AB58" s="246" t="s">
        <v>207</v>
      </c>
      <c r="AC58" s="246" t="s">
        <v>206</v>
      </c>
      <c r="AD58" s="246" t="s">
        <v>205</v>
      </c>
      <c r="AE58" s="309" t="s">
        <v>204</v>
      </c>
      <c r="AF58" s="290"/>
      <c r="AG58" s="246" t="s">
        <v>237</v>
      </c>
      <c r="AH58" s="246" t="s">
        <v>236</v>
      </c>
      <c r="AI58" s="246" t="s">
        <v>235</v>
      </c>
    </row>
    <row r="59" spans="16:35">
      <c r="Y59" s="310" t="s">
        <v>202</v>
      </c>
      <c r="Z59" s="256" t="s">
        <v>201</v>
      </c>
      <c r="AA59" s="311">
        <v>43102</v>
      </c>
      <c r="AB59" s="238">
        <v>444</v>
      </c>
      <c r="AC59" s="238">
        <v>748</v>
      </c>
      <c r="AD59" s="238">
        <v>97.24</v>
      </c>
      <c r="AE59" s="312">
        <v>650.76</v>
      </c>
      <c r="AF59" s="238"/>
      <c r="AG59" s="239">
        <v>74</v>
      </c>
      <c r="AH59" s="239">
        <v>150</v>
      </c>
      <c r="AI59" s="239">
        <v>5</v>
      </c>
    </row>
    <row r="60" spans="16:35">
      <c r="Y60" s="310" t="s">
        <v>200</v>
      </c>
      <c r="Z60" s="256" t="s">
        <v>199</v>
      </c>
      <c r="AA60" s="311">
        <v>42837</v>
      </c>
      <c r="AB60" s="238">
        <v>204</v>
      </c>
      <c r="AC60" s="238">
        <v>378.8</v>
      </c>
      <c r="AD60" s="238">
        <v>49.24</v>
      </c>
      <c r="AE60" s="312">
        <v>329.56</v>
      </c>
      <c r="AF60" s="238"/>
      <c r="AG60" s="239">
        <v>34</v>
      </c>
      <c r="AH60" s="239">
        <v>102</v>
      </c>
      <c r="AI60" s="239">
        <v>4</v>
      </c>
    </row>
    <row r="61" spans="16:35">
      <c r="Y61" s="310" t="s">
        <v>198</v>
      </c>
      <c r="Z61" s="256" t="s">
        <v>143</v>
      </c>
      <c r="AA61" s="311">
        <v>42837</v>
      </c>
      <c r="AB61" s="238">
        <v>540</v>
      </c>
      <c r="AC61" s="238">
        <v>876</v>
      </c>
      <c r="AD61" s="238">
        <v>113.88</v>
      </c>
      <c r="AE61" s="312">
        <v>762.12</v>
      </c>
      <c r="AF61" s="238"/>
      <c r="AG61" s="239">
        <v>90</v>
      </c>
      <c r="AH61" s="239">
        <v>150</v>
      </c>
      <c r="AI61" s="239">
        <v>5</v>
      </c>
    </row>
    <row r="62" spans="16:35">
      <c r="Y62" s="310" t="s">
        <v>197</v>
      </c>
      <c r="Z62" s="256" t="s">
        <v>196</v>
      </c>
      <c r="AA62" s="311">
        <v>42046</v>
      </c>
      <c r="AB62" s="238">
        <v>274.27999999999997</v>
      </c>
      <c r="AC62" s="238">
        <v>369.3</v>
      </c>
      <c r="AD62" s="238">
        <v>48.01</v>
      </c>
      <c r="AE62" s="312">
        <v>321.29000000000002</v>
      </c>
      <c r="AF62" s="238"/>
      <c r="AG62" s="239">
        <v>45.71</v>
      </c>
      <c r="AH62" s="239">
        <v>0</v>
      </c>
      <c r="AI62" s="239">
        <v>3</v>
      </c>
    </row>
    <row r="63" spans="16:35">
      <c r="Y63" s="310" t="s">
        <v>195</v>
      </c>
      <c r="Z63" s="256" t="s">
        <v>194</v>
      </c>
      <c r="AA63" s="311">
        <v>42801</v>
      </c>
      <c r="AB63" s="238">
        <v>144</v>
      </c>
      <c r="AC63" s="238">
        <v>267.60000000000002</v>
      </c>
      <c r="AD63" s="238">
        <v>34.79</v>
      </c>
      <c r="AE63" s="312">
        <v>232.81</v>
      </c>
      <c r="AF63" s="238"/>
      <c r="AG63" s="239">
        <v>24</v>
      </c>
      <c r="AH63" s="239">
        <v>72</v>
      </c>
      <c r="AI63" s="239">
        <v>3</v>
      </c>
    </row>
    <row r="64" spans="16:35">
      <c r="Y64" s="310" t="s">
        <v>193</v>
      </c>
      <c r="Z64" s="256" t="s">
        <v>192</v>
      </c>
      <c r="AA64" s="311">
        <v>42499</v>
      </c>
      <c r="AB64" s="238">
        <v>12</v>
      </c>
      <c r="AC64" s="238">
        <v>23.2</v>
      </c>
      <c r="AD64" s="238">
        <v>3.02</v>
      </c>
      <c r="AE64" s="312">
        <v>20.18</v>
      </c>
      <c r="AF64" s="238"/>
      <c r="AG64" s="239">
        <v>2</v>
      </c>
      <c r="AH64" s="239">
        <v>6</v>
      </c>
      <c r="AI64" s="239">
        <v>1</v>
      </c>
    </row>
    <row r="65" spans="25:35">
      <c r="Y65" s="310" t="s">
        <v>191</v>
      </c>
      <c r="Z65" s="256" t="s">
        <v>190</v>
      </c>
      <c r="AA65" s="311">
        <v>42046</v>
      </c>
      <c r="AB65" s="238">
        <v>696</v>
      </c>
      <c r="AC65" s="238">
        <v>943.2</v>
      </c>
      <c r="AD65" s="238">
        <v>122.24</v>
      </c>
      <c r="AE65" s="312">
        <v>820.96</v>
      </c>
      <c r="AF65" s="238"/>
      <c r="AG65" s="239">
        <v>116</v>
      </c>
      <c r="AH65" s="239">
        <v>9.1999999999999993</v>
      </c>
      <c r="AI65" s="239">
        <v>5</v>
      </c>
    </row>
    <row r="66" spans="25:35">
      <c r="Y66" s="310" t="s">
        <v>189</v>
      </c>
      <c r="Z66" s="256" t="s">
        <v>188</v>
      </c>
      <c r="AA66" s="311">
        <v>43347</v>
      </c>
      <c r="AB66" s="238">
        <v>432</v>
      </c>
      <c r="AC66" s="238">
        <v>732</v>
      </c>
      <c r="AD66" s="238">
        <v>95.16</v>
      </c>
      <c r="AE66" s="312">
        <v>636.84</v>
      </c>
      <c r="AF66" s="238"/>
      <c r="AG66" s="239">
        <v>72</v>
      </c>
      <c r="AH66" s="239">
        <v>150</v>
      </c>
      <c r="AI66" s="239">
        <v>5</v>
      </c>
    </row>
    <row r="67" spans="25:35">
      <c r="Y67" s="310" t="s">
        <v>187</v>
      </c>
      <c r="Z67" s="256" t="s">
        <v>186</v>
      </c>
      <c r="AA67" s="311">
        <v>42837</v>
      </c>
      <c r="AB67" s="238">
        <v>504</v>
      </c>
      <c r="AC67" s="238">
        <v>828</v>
      </c>
      <c r="AD67" s="238">
        <v>101.51</v>
      </c>
      <c r="AE67" s="312">
        <v>726.49</v>
      </c>
      <c r="AF67" s="238"/>
      <c r="AG67" s="239">
        <v>84</v>
      </c>
      <c r="AH67" s="239">
        <v>150</v>
      </c>
      <c r="AI67" s="239">
        <v>5</v>
      </c>
    </row>
    <row r="68" spans="25:35">
      <c r="Y68" s="310" t="s">
        <v>185</v>
      </c>
      <c r="Z68" s="256" t="s">
        <v>184</v>
      </c>
      <c r="AA68" s="311">
        <v>42125</v>
      </c>
      <c r="AB68" s="238">
        <v>432</v>
      </c>
      <c r="AC68" s="238">
        <v>732</v>
      </c>
      <c r="AD68" s="238">
        <v>89.75</v>
      </c>
      <c r="AE68" s="312">
        <v>642.25</v>
      </c>
      <c r="AF68" s="238"/>
      <c r="AG68" s="239">
        <v>72</v>
      </c>
      <c r="AH68" s="239">
        <v>150</v>
      </c>
      <c r="AI68" s="239">
        <v>5</v>
      </c>
    </row>
    <row r="69" spans="25:35">
      <c r="Y69" s="310" t="s">
        <v>183</v>
      </c>
      <c r="Z69" s="256" t="s">
        <v>74</v>
      </c>
      <c r="AA69" s="311">
        <v>42499</v>
      </c>
      <c r="AB69" s="238">
        <v>576</v>
      </c>
      <c r="AC69" s="238">
        <v>923.59</v>
      </c>
      <c r="AD69" s="238">
        <v>120.07</v>
      </c>
      <c r="AE69" s="312">
        <v>803.52</v>
      </c>
      <c r="AF69" s="238"/>
      <c r="AG69" s="239">
        <v>96</v>
      </c>
      <c r="AH69" s="239">
        <v>149.59</v>
      </c>
      <c r="AI69" s="239">
        <v>5</v>
      </c>
    </row>
    <row r="70" spans="25:35">
      <c r="Y70" s="310" t="s">
        <v>182</v>
      </c>
      <c r="Z70" s="256" t="s">
        <v>51</v>
      </c>
      <c r="AA70" s="311">
        <v>42375</v>
      </c>
      <c r="AB70" s="238">
        <v>624</v>
      </c>
      <c r="AC70" s="238">
        <v>931.6</v>
      </c>
      <c r="AD70" s="238">
        <v>121.11</v>
      </c>
      <c r="AE70" s="312">
        <v>810.49</v>
      </c>
      <c r="AF70" s="238"/>
      <c r="AG70" s="239">
        <v>104</v>
      </c>
      <c r="AH70" s="239">
        <v>93.6</v>
      </c>
      <c r="AI70" s="239">
        <v>5</v>
      </c>
    </row>
    <row r="71" spans="25:35">
      <c r="Y71" s="310" t="s">
        <v>181</v>
      </c>
      <c r="Z71" s="256" t="s">
        <v>180</v>
      </c>
      <c r="AA71" s="311">
        <v>42375</v>
      </c>
      <c r="AB71" s="238">
        <v>492</v>
      </c>
      <c r="AC71" s="238">
        <v>812</v>
      </c>
      <c r="AD71" s="238">
        <v>105.56</v>
      </c>
      <c r="AE71" s="312">
        <v>706.44</v>
      </c>
      <c r="AF71" s="238"/>
      <c r="AG71" s="239">
        <v>82</v>
      </c>
      <c r="AH71" s="239">
        <v>150</v>
      </c>
      <c r="AI71" s="239">
        <v>5</v>
      </c>
    </row>
    <row r="72" spans="25:35">
      <c r="Y72" s="310" t="s">
        <v>179</v>
      </c>
      <c r="Z72" s="256" t="s">
        <v>49</v>
      </c>
      <c r="AA72" s="311">
        <v>42897</v>
      </c>
      <c r="AB72" s="238">
        <v>12</v>
      </c>
      <c r="AC72" s="238">
        <v>23.2</v>
      </c>
      <c r="AD72" s="238">
        <v>2.89</v>
      </c>
      <c r="AE72" s="312">
        <v>20.309999999999999</v>
      </c>
      <c r="AF72" s="238"/>
      <c r="AG72" s="239">
        <v>2</v>
      </c>
      <c r="AH72" s="239">
        <v>6</v>
      </c>
      <c r="AI72" s="239">
        <v>1</v>
      </c>
    </row>
    <row r="73" spans="25:35">
      <c r="Y73" s="310" t="s">
        <v>178</v>
      </c>
      <c r="Z73" s="256" t="s">
        <v>177</v>
      </c>
      <c r="AA73" s="311" t="s">
        <v>176</v>
      </c>
      <c r="AB73" s="238">
        <v>444</v>
      </c>
      <c r="AC73" s="238">
        <v>748</v>
      </c>
      <c r="AD73" s="238">
        <v>97.24</v>
      </c>
      <c r="AE73" s="312">
        <v>650.76</v>
      </c>
      <c r="AF73" s="238"/>
      <c r="AG73" s="239">
        <v>74</v>
      </c>
      <c r="AH73" s="239">
        <v>150</v>
      </c>
      <c r="AI73" s="239">
        <v>5</v>
      </c>
    </row>
    <row r="74" spans="25:35">
      <c r="Y74" s="310" t="s">
        <v>175</v>
      </c>
      <c r="Z74" s="256" t="s">
        <v>57</v>
      </c>
      <c r="AA74" s="311">
        <v>42889</v>
      </c>
      <c r="AB74" s="238">
        <v>528</v>
      </c>
      <c r="AC74" s="238">
        <v>860</v>
      </c>
      <c r="AD74" s="238">
        <v>100.97</v>
      </c>
      <c r="AE74" s="312">
        <v>759.03</v>
      </c>
      <c r="AF74" s="238"/>
      <c r="AG74" s="239">
        <v>88</v>
      </c>
      <c r="AH74" s="239">
        <v>150</v>
      </c>
      <c r="AI74" s="239">
        <v>5</v>
      </c>
    </row>
    <row r="75" spans="25:35">
      <c r="Y75" s="313"/>
      <c r="Z75" s="314"/>
      <c r="AA75" s="315"/>
      <c r="AB75" s="316">
        <f>SUM(AB59:AB74)</f>
        <v>6358.28</v>
      </c>
      <c r="AC75" s="316">
        <f>SUM(AC59:AC74)</f>
        <v>10196.490000000002</v>
      </c>
      <c r="AD75" s="316">
        <f>SUM(AD59:AD74)</f>
        <v>1302.6800000000003</v>
      </c>
      <c r="AE75" s="317">
        <f>SUM(AE59:AE74)</f>
        <v>8893.8100000000013</v>
      </c>
      <c r="AF75" s="234"/>
      <c r="AG75" s="235">
        <f>SUM(AG59:AG74)</f>
        <v>1059.71</v>
      </c>
      <c r="AH75" s="235">
        <f>SUM(AH59:AH74)</f>
        <v>1638.3899999999999</v>
      </c>
      <c r="AI75" s="235">
        <f>SUM(AI59:AI74)</f>
        <v>67</v>
      </c>
    </row>
  </sheetData>
  <mergeCells count="4">
    <mergeCell ref="I2:R2"/>
    <mergeCell ref="K3:N3"/>
    <mergeCell ref="O3:P3"/>
    <mergeCell ref="S3:U3"/>
  </mergeCells>
  <conditionalFormatting sqref="R43 R5:R6">
    <cfRule type="cellIs" dxfId="10" priority="1" operator="lessThanOrEqual">
      <formula>0</formula>
    </cfRule>
  </conditionalFormatting>
  <printOptions horizontalCentered="1"/>
  <pageMargins left="0" right="0" top="0.42" bottom="0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10</vt:i4>
      </vt:variant>
    </vt:vector>
  </HeadingPairs>
  <TitlesOfParts>
    <vt:vector size="27" baseType="lpstr">
      <vt:lpstr>Hoja27</vt:lpstr>
      <vt:lpstr>Hoja26</vt:lpstr>
      <vt:lpstr>Hoja25</vt:lpstr>
      <vt:lpstr>Hoja24</vt:lpstr>
      <vt:lpstr>Hoja23</vt:lpstr>
      <vt:lpstr>Hoja22</vt:lpstr>
      <vt:lpstr>Hoja21</vt:lpstr>
      <vt:lpstr>Hoja20</vt:lpstr>
      <vt:lpstr>Hoja19</vt:lpstr>
      <vt:lpstr>Hoja18</vt:lpstr>
      <vt:lpstr>Hoja17</vt:lpstr>
      <vt:lpstr>Hoja16</vt:lpstr>
      <vt:lpstr>Hoja15</vt:lpstr>
      <vt:lpstr>Hoja14</vt:lpstr>
      <vt:lpstr>Hoja13</vt:lpstr>
      <vt:lpstr>Hoja12</vt:lpstr>
      <vt:lpstr>Hoja11</vt:lpstr>
      <vt:lpstr>Hoja18!Área_de_impresión</vt:lpstr>
      <vt:lpstr>Hoja19!Área_de_impresión</vt:lpstr>
      <vt:lpstr>Hoja20!Área_de_impresión</vt:lpstr>
      <vt:lpstr>Hoja21!Área_de_impresión</vt:lpstr>
      <vt:lpstr>Hoja22!Área_de_impresión</vt:lpstr>
      <vt:lpstr>Hoja23!Área_de_impresión</vt:lpstr>
      <vt:lpstr>Hoja24!Área_de_impresión</vt:lpstr>
      <vt:lpstr>Hoja25!Área_de_impresión</vt:lpstr>
      <vt:lpstr>Hoja26!Área_de_impresión</vt:lpstr>
      <vt:lpstr>Hoja27!Área_de_impresión</vt:lpstr>
    </vt:vector>
  </TitlesOfParts>
  <Company>Transcosta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CesarQ</dc:creator>
  <cp:lastModifiedBy>CesarQ</cp:lastModifiedBy>
  <cp:lastPrinted>2018-05-23T17:20:11Z</cp:lastPrinted>
  <dcterms:created xsi:type="dcterms:W3CDTF">2018-04-10T16:09:01Z</dcterms:created>
  <dcterms:modified xsi:type="dcterms:W3CDTF">2018-07-11T18:05:15Z</dcterms:modified>
</cp:coreProperties>
</file>